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KGS\Revenue Requirements\Rate Case\BP-22\Final Proposal\Power\"/>
    </mc:Choice>
  </mc:AlternateContent>
  <bookViews>
    <workbookView xWindow="-15" yWindow="-15" windowWidth="27060" windowHeight="6480" tabRatio="906"/>
  </bookViews>
  <sheets>
    <sheet name="Income Statement Cash Flows" sheetId="12" r:id="rId1"/>
    <sheet name="Current Revenue Test" sheetId="22" r:id="rId2"/>
    <sheet name="Current Evans Table" sheetId="25" r:id="rId3"/>
    <sheet name="Revised Revenue Test" sheetId="23" r:id="rId4"/>
    <sheet name="Revised Evans Table" sheetId="26" r:id="rId5"/>
    <sheet name="cost table" sheetId="1" r:id="rId6"/>
    <sheet name="COSA" sheetId="14" r:id="rId7"/>
    <sheet name="equivalent annual costs" sheetId="13" r:id="rId8"/>
    <sheet name="Debt to Asset Ratio" sheetId="46" r:id="rId9"/>
    <sheet name="Depreciation" sheetId="45" r:id="rId10"/>
    <sheet name="Fed Projections" sheetId="35" r:id="rId11"/>
    <sheet name="IPR Data" sheetId="36" r:id="rId12"/>
    <sheet name="Modeling results" sheetId="24" r:id="rId13"/>
    <sheet name="Federal Capital Costs" sheetId="28" r:id="rId14"/>
    <sheet name="Non-Federal DS" sheetId="9" r:id="rId15"/>
    <sheet name="interest credit calculations" sheetId="7" r:id="rId16"/>
    <sheet name="R&amp;D split" sheetId="4" r:id="rId17"/>
    <sheet name="REP staff costs" sheetId="3" r:id="rId18"/>
    <sheet name="EE staffing split" sheetId="5" r:id="rId19"/>
    <sheet name="Rev Test Summary (Table1)" sheetId="42" r:id="rId20"/>
    <sheet name="Corps Rec Functionalization" sheetId="16" r:id="rId21"/>
    <sheet name="Corps Rec Project O&amp;M" sheetId="15" r:id="rId22"/>
    <sheet name="synchronous condensor" sheetId="19" r:id="rId23"/>
    <sheet name="Corps Rec Transmission" sheetId="20" r:id="rId24"/>
    <sheet name="Sheet1" sheetId="21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5" hidden="1">'cost table'!$A$4:$V$155</definedName>
    <definedName name="_Key1" hidden="1">#REF!</definedName>
    <definedName name="_Sort" hidden="1">#REF!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rates." hidden="1">{"dsino7b2",#N/A,FALSE,"RATES";"nrno7b2",#N/A,FALSE,"RATES";"pfno7b2",#N/A,FALSE,"RATES"}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</definedNames>
  <calcPr calcId="162913"/>
</workbook>
</file>

<file path=xl/calcChain.xml><?xml version="1.0" encoding="utf-8"?>
<calcChain xmlns="http://schemas.openxmlformats.org/spreadsheetml/2006/main">
  <c r="E43" i="16" l="1"/>
  <c r="E51" i="16"/>
  <c r="H51" i="16"/>
  <c r="E53" i="16"/>
  <c r="H53" i="16"/>
  <c r="F68" i="12" l="1"/>
  <c r="E68" i="12"/>
  <c r="K123" i="26"/>
  <c r="B8" i="24" l="1"/>
  <c r="C8" i="24"/>
  <c r="C4" i="24" l="1"/>
  <c r="B4" i="24"/>
  <c r="C22" i="24"/>
  <c r="B22" i="24"/>
  <c r="D8" i="28" l="1"/>
  <c r="E8" i="28"/>
  <c r="C8" i="28"/>
  <c r="C2" i="24" l="1"/>
  <c r="B2" i="24"/>
  <c r="G49" i="9" l="1"/>
  <c r="F49" i="9"/>
  <c r="E49" i="9"/>
  <c r="G8" i="35" l="1"/>
  <c r="F8" i="35"/>
  <c r="G9" i="35"/>
  <c r="G10" i="35"/>
  <c r="F10" i="35"/>
  <c r="F9" i="35"/>
  <c r="G4" i="35"/>
  <c r="F4" i="35"/>
  <c r="B17" i="24" l="1"/>
  <c r="C31" i="24" l="1"/>
  <c r="G80" i="9" l="1"/>
  <c r="F80" i="9"/>
  <c r="E80" i="9"/>
  <c r="G79" i="9"/>
  <c r="F79" i="9"/>
  <c r="E79" i="9"/>
  <c r="G78" i="9"/>
  <c r="F78" i="9"/>
  <c r="E78" i="9"/>
  <c r="G75" i="9"/>
  <c r="F75" i="9"/>
  <c r="E75" i="9"/>
  <c r="G74" i="9"/>
  <c r="F74" i="9"/>
  <c r="E74" i="9"/>
  <c r="G45" i="9"/>
  <c r="F45" i="9"/>
  <c r="E45" i="9"/>
  <c r="G44" i="9"/>
  <c r="F44" i="9"/>
  <c r="E44" i="9"/>
  <c r="G43" i="9"/>
  <c r="F43" i="9"/>
  <c r="E43" i="9"/>
  <c r="G40" i="9"/>
  <c r="F40" i="9"/>
  <c r="E40" i="9"/>
  <c r="G39" i="9"/>
  <c r="F39" i="9"/>
  <c r="E39" i="9"/>
  <c r="G15" i="9"/>
  <c r="F15" i="9"/>
  <c r="E15" i="9"/>
  <c r="G14" i="9"/>
  <c r="F14" i="9"/>
  <c r="E14" i="9"/>
  <c r="G13" i="9"/>
  <c r="F13" i="9"/>
  <c r="E13" i="9"/>
  <c r="G10" i="9"/>
  <c r="F10" i="9"/>
  <c r="E10" i="9"/>
  <c r="G9" i="9"/>
  <c r="F9" i="9"/>
  <c r="E9" i="9"/>
  <c r="G8" i="9"/>
  <c r="F8" i="9"/>
  <c r="E8" i="9"/>
  <c r="G7" i="9"/>
  <c r="F7" i="9"/>
  <c r="E7" i="9"/>
  <c r="E15" i="28"/>
  <c r="D15" i="28"/>
  <c r="C15" i="28"/>
  <c r="E14" i="28"/>
  <c r="D14" i="28"/>
  <c r="C14" i="28"/>
  <c r="E13" i="28"/>
  <c r="D13" i="28"/>
  <c r="D18" i="28" s="1"/>
  <c r="C13" i="28"/>
  <c r="E10" i="28"/>
  <c r="D10" i="28"/>
  <c r="C10" i="28"/>
  <c r="E5" i="28"/>
  <c r="D5" i="28"/>
  <c r="C5" i="28"/>
  <c r="E4" i="28"/>
  <c r="E11" i="28" s="1"/>
  <c r="D4" i="28"/>
  <c r="D11" i="28" s="1"/>
  <c r="C4" i="28"/>
  <c r="C11" i="28" s="1"/>
  <c r="C18" i="28" l="1"/>
  <c r="G9" i="46"/>
  <c r="H9" i="46"/>
  <c r="E18" i="28"/>
  <c r="I9" i="46"/>
  <c r="E45" i="12"/>
  <c r="F45" i="12"/>
  <c r="G32" i="46" l="1"/>
  <c r="G36" i="46" l="1"/>
  <c r="H36" i="46"/>
  <c r="I36" i="46"/>
  <c r="F39" i="12" l="1"/>
  <c r="E39" i="12"/>
  <c r="F38" i="12"/>
  <c r="E38" i="12"/>
  <c r="F23" i="45" l="1"/>
  <c r="F24" i="45"/>
  <c r="F25" i="45"/>
  <c r="F26" i="45"/>
  <c r="F27" i="45"/>
  <c r="E26" i="45"/>
  <c r="E27" i="45"/>
  <c r="E25" i="45"/>
  <c r="E24" i="45"/>
  <c r="E23" i="45"/>
  <c r="E102" i="9" l="1"/>
  <c r="G14" i="46" s="1"/>
  <c r="E87" i="1" l="1"/>
  <c r="D87" i="1"/>
  <c r="G82" i="9" l="1"/>
  <c r="G83" i="9" s="1"/>
  <c r="F11" i="9"/>
  <c r="F12" i="9" s="1"/>
  <c r="D121" i="1" l="1"/>
  <c r="F102" i="9"/>
  <c r="H14" i="46" s="1"/>
  <c r="E121" i="1"/>
  <c r="G102" i="9"/>
  <c r="I14" i="46" s="1"/>
  <c r="G11" i="9"/>
  <c r="F16" i="9"/>
  <c r="F18" i="9" s="1"/>
  <c r="F82" i="9"/>
  <c r="F83" i="9" s="1"/>
  <c r="G12" i="9"/>
  <c r="C39" i="20"/>
  <c r="F17" i="9" l="1"/>
  <c r="G16" i="9"/>
  <c r="G18" i="9" s="1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L34" i="15"/>
  <c r="G17" i="9" l="1"/>
  <c r="M12" i="15"/>
  <c r="M7" i="15"/>
  <c r="M8" i="15"/>
  <c r="M9" i="15"/>
  <c r="M10" i="15"/>
  <c r="M11" i="15"/>
  <c r="M6" i="15"/>
  <c r="L12" i="15"/>
  <c r="C8" i="36" l="1"/>
  <c r="D10" i="1" s="1"/>
  <c r="D8" i="36"/>
  <c r="E10" i="1" s="1"/>
  <c r="D71" i="36"/>
  <c r="C71" i="36"/>
  <c r="D70" i="36"/>
  <c r="C70" i="36"/>
  <c r="D69" i="36"/>
  <c r="C69" i="36"/>
  <c r="D68" i="36"/>
  <c r="C68" i="36"/>
  <c r="D67" i="36"/>
  <c r="C67" i="36"/>
  <c r="D66" i="36"/>
  <c r="C66" i="36"/>
  <c r="D65" i="36"/>
  <c r="C65" i="36"/>
  <c r="D63" i="36"/>
  <c r="C63" i="36"/>
  <c r="D62" i="36"/>
  <c r="C62" i="36"/>
  <c r="D61" i="36"/>
  <c r="C61" i="36"/>
  <c r="D59" i="36"/>
  <c r="C59" i="36"/>
  <c r="D58" i="36"/>
  <c r="C58" i="36"/>
  <c r="D57" i="36"/>
  <c r="C57" i="36"/>
  <c r="D56" i="36"/>
  <c r="C56" i="36"/>
  <c r="D55" i="36"/>
  <c r="C55" i="36"/>
  <c r="D54" i="36"/>
  <c r="C54" i="36"/>
  <c r="D53" i="36"/>
  <c r="C53" i="36"/>
  <c r="D52" i="36"/>
  <c r="C52" i="36"/>
  <c r="D51" i="36"/>
  <c r="C51" i="36"/>
  <c r="D50" i="36"/>
  <c r="C50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D43" i="36"/>
  <c r="C43" i="36"/>
  <c r="D42" i="36"/>
  <c r="C42" i="36"/>
  <c r="D40" i="36"/>
  <c r="C40" i="36"/>
  <c r="D39" i="36"/>
  <c r="C39" i="36"/>
  <c r="D38" i="36"/>
  <c r="C38" i="36"/>
  <c r="D37" i="36"/>
  <c r="C37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3" i="36"/>
  <c r="C23" i="36"/>
  <c r="D22" i="36"/>
  <c r="C22" i="36"/>
  <c r="D18" i="36"/>
  <c r="C18" i="36"/>
  <c r="D17" i="36"/>
  <c r="C17" i="36"/>
  <c r="D15" i="36"/>
  <c r="C15" i="36"/>
  <c r="D14" i="36"/>
  <c r="C14" i="36"/>
  <c r="D12" i="36"/>
  <c r="C12" i="36"/>
  <c r="D11" i="36"/>
  <c r="C11" i="36"/>
  <c r="D9" i="36"/>
  <c r="C9" i="36"/>
  <c r="D6" i="36"/>
  <c r="E7" i="1" s="1"/>
  <c r="C6" i="36"/>
  <c r="D7" i="1" s="1"/>
  <c r="D5" i="36"/>
  <c r="C5" i="36"/>
  <c r="D4" i="36"/>
  <c r="C4" i="36"/>
  <c r="G27" i="46" l="1"/>
  <c r="D27" i="45"/>
  <c r="C27" i="45"/>
  <c r="D26" i="45"/>
  <c r="C26" i="45"/>
  <c r="D25" i="45"/>
  <c r="C25" i="45"/>
  <c r="D24" i="45"/>
  <c r="C24" i="45"/>
  <c r="D23" i="45"/>
  <c r="C23" i="45"/>
  <c r="F29" i="45"/>
  <c r="E29" i="45"/>
  <c r="D29" i="45"/>
  <c r="C29" i="45"/>
  <c r="H39" i="20" l="1"/>
  <c r="H37" i="20"/>
  <c r="H35" i="20"/>
  <c r="D39" i="20"/>
  <c r="D37" i="20"/>
  <c r="D35" i="20"/>
  <c r="F23" i="16"/>
  <c r="C23" i="16"/>
  <c r="F22" i="16"/>
  <c r="C22" i="16"/>
  <c r="F19" i="16"/>
  <c r="C19" i="16"/>
  <c r="F18" i="16"/>
  <c r="C18" i="16"/>
  <c r="F13" i="16"/>
  <c r="C13" i="16"/>
  <c r="F12" i="16"/>
  <c r="C12" i="16"/>
  <c r="H44" i="20"/>
  <c r="D44" i="20"/>
  <c r="G9" i="13"/>
  <c r="D9" i="13"/>
  <c r="G8" i="13"/>
  <c r="D8" i="13"/>
  <c r="G7" i="13"/>
  <c r="D7" i="13"/>
  <c r="G5" i="13"/>
  <c r="D5" i="13"/>
  <c r="F20" i="45"/>
  <c r="E20" i="45"/>
  <c r="D20" i="45"/>
  <c r="C20" i="45"/>
  <c r="F19" i="45"/>
  <c r="E19" i="45"/>
  <c r="D19" i="45"/>
  <c r="C19" i="45"/>
  <c r="F13" i="45"/>
  <c r="E13" i="45"/>
  <c r="D13" i="45"/>
  <c r="C13" i="45"/>
  <c r="F12" i="45"/>
  <c r="E12" i="45"/>
  <c r="D12" i="45"/>
  <c r="C12" i="45"/>
  <c r="F11" i="45"/>
  <c r="E11" i="45"/>
  <c r="D11" i="45"/>
  <c r="C11" i="45"/>
  <c r="F10" i="45"/>
  <c r="E10" i="45"/>
  <c r="D10" i="45"/>
  <c r="C10" i="45"/>
  <c r="F9" i="45"/>
  <c r="E9" i="45"/>
  <c r="D9" i="45"/>
  <c r="C9" i="45"/>
  <c r="F7" i="45"/>
  <c r="E7" i="45"/>
  <c r="D7" i="45"/>
  <c r="C7" i="45"/>
  <c r="F6" i="45"/>
  <c r="E6" i="45"/>
  <c r="D6" i="45"/>
  <c r="C6" i="45"/>
  <c r="F5" i="45"/>
  <c r="E5" i="45"/>
  <c r="D5" i="45"/>
  <c r="C5" i="45"/>
  <c r="E96" i="1"/>
  <c r="D96" i="1"/>
  <c r="F44" i="46" l="1"/>
  <c r="E11" i="46" l="1"/>
  <c r="B1" i="9" l="1"/>
  <c r="F88" i="22" l="1"/>
  <c r="E88" i="22"/>
  <c r="C17" i="24" l="1"/>
  <c r="E37" i="1" l="1"/>
  <c r="E38" i="1"/>
  <c r="D38" i="1"/>
  <c r="D37" i="1"/>
  <c r="E41" i="1"/>
  <c r="D41" i="1"/>
  <c r="G42" i="9" l="1"/>
  <c r="E42" i="9"/>
  <c r="F42" i="9"/>
  <c r="F46" i="9" s="1"/>
  <c r="F53" i="9" s="1"/>
  <c r="E11" i="9"/>
  <c r="E12" i="9" s="1"/>
  <c r="E16" i="9" l="1"/>
  <c r="E18" i="9" s="1"/>
  <c r="E132" i="1"/>
  <c r="D132" i="1"/>
  <c r="E17" i="9" l="1"/>
  <c r="F118" i="9" l="1"/>
  <c r="D94" i="1" s="1"/>
  <c r="G118" i="9"/>
  <c r="E94" i="1" s="1"/>
  <c r="G117" i="9"/>
  <c r="E93" i="1" s="1"/>
  <c r="F117" i="9"/>
  <c r="D93" i="1" s="1"/>
  <c r="F8" i="3" l="1"/>
  <c r="D25" i="1" s="1"/>
  <c r="G5" i="3"/>
  <c r="G6" i="3" s="1"/>
  <c r="G7" i="3" s="1"/>
  <c r="G8" i="3" s="1"/>
  <c r="E25" i="1" s="1"/>
  <c r="F5" i="3"/>
  <c r="F6" i="3" s="1"/>
  <c r="F7" i="3" s="1"/>
  <c r="D86" i="36" l="1"/>
  <c r="C86" i="36"/>
  <c r="D8" i="1" l="1"/>
  <c r="E8" i="1"/>
  <c r="D11" i="46" l="1"/>
  <c r="C11" i="46" l="1"/>
  <c r="F66" i="12" l="1"/>
  <c r="E66" i="12"/>
  <c r="F35" i="12"/>
  <c r="E35" i="12"/>
  <c r="F34" i="12"/>
  <c r="E34" i="12"/>
  <c r="E36" i="23" l="1"/>
  <c r="E72" i="23" s="1"/>
  <c r="D114" i="1"/>
  <c r="E36" i="22"/>
  <c r="E69" i="22" s="1"/>
  <c r="E69" i="12"/>
  <c r="E37" i="22"/>
  <c r="E70" i="22" s="1"/>
  <c r="E70" i="12"/>
  <c r="D115" i="1"/>
  <c r="E37" i="23"/>
  <c r="E73" i="23" s="1"/>
  <c r="F36" i="23"/>
  <c r="F72" i="23" s="1"/>
  <c r="E114" i="1"/>
  <c r="F69" i="12"/>
  <c r="F36" i="22"/>
  <c r="F69" i="22" s="1"/>
  <c r="F37" i="23"/>
  <c r="F73" i="23" s="1"/>
  <c r="E115" i="1"/>
  <c r="F70" i="12"/>
  <c r="F37" i="22"/>
  <c r="F70" i="22" s="1"/>
  <c r="E54" i="1" l="1"/>
  <c r="D54" i="1"/>
  <c r="E53" i="1"/>
  <c r="D53" i="1"/>
  <c r="O34" i="15"/>
  <c r="N34" i="15"/>
  <c r="E18" i="12" l="1"/>
  <c r="F18" i="12"/>
  <c r="D58" i="1"/>
  <c r="C64" i="36"/>
  <c r="C72" i="36"/>
  <c r="E58" i="1"/>
  <c r="D64" i="36"/>
  <c r="D72" i="36"/>
  <c r="H32" i="46"/>
  <c r="I32" i="46" s="1"/>
  <c r="H27" i="46"/>
  <c r="I27" i="46" s="1"/>
  <c r="E5" i="1" l="1"/>
  <c r="E11" i="1"/>
  <c r="E12" i="1"/>
  <c r="E18" i="1"/>
  <c r="E19" i="1"/>
  <c r="E20" i="1"/>
  <c r="E35" i="1" l="1"/>
  <c r="E16" i="1" l="1"/>
  <c r="C24" i="36"/>
  <c r="D47" i="1"/>
  <c r="D50" i="1"/>
  <c r="D51" i="1"/>
  <c r="D49" i="1"/>
  <c r="E15" i="1"/>
  <c r="E28" i="1"/>
  <c r="E29" i="1"/>
  <c r="E36" i="1"/>
  <c r="E34" i="1"/>
  <c r="E33" i="1"/>
  <c r="E32" i="1"/>
  <c r="E31" i="1"/>
  <c r="E39" i="1"/>
  <c r="E40" i="1"/>
  <c r="E47" i="1"/>
  <c r="E50" i="1"/>
  <c r="E51" i="1"/>
  <c r="E49" i="1"/>
  <c r="E52" i="1"/>
  <c r="E46" i="1"/>
  <c r="E61" i="1"/>
  <c r="E62" i="1"/>
  <c r="E60" i="1"/>
  <c r="E63" i="1"/>
  <c r="E65" i="1"/>
  <c r="E14" i="1"/>
  <c r="E13" i="1"/>
  <c r="D60" i="1" l="1"/>
  <c r="D61" i="1"/>
  <c r="D13" i="36"/>
  <c r="F9" i="12" s="1"/>
  <c r="E9" i="1"/>
  <c r="D57" i="1"/>
  <c r="D24" i="36"/>
  <c r="E17" i="1"/>
  <c r="E6" i="1"/>
  <c r="E27" i="1"/>
  <c r="E30" i="1"/>
  <c r="E55" i="1"/>
  <c r="E57" i="1"/>
  <c r="C60" i="36"/>
  <c r="D55" i="1"/>
  <c r="C16" i="36"/>
  <c r="D16" i="36"/>
  <c r="D60" i="36"/>
  <c r="D41" i="36"/>
  <c r="D36" i="36"/>
  <c r="D19" i="36"/>
  <c r="C41" i="36"/>
  <c r="E56" i="1" l="1"/>
  <c r="E66" i="1"/>
  <c r="E64" i="1" l="1"/>
  <c r="D74" i="36"/>
  <c r="D75" i="36" l="1"/>
  <c r="D76" i="36"/>
  <c r="D78" i="36" s="1"/>
  <c r="C13" i="36" l="1"/>
  <c r="C19" i="36"/>
  <c r="E9" i="12" l="1"/>
  <c r="C8" i="16" l="1"/>
  <c r="J34" i="15"/>
  <c r="J12" i="15"/>
  <c r="G34" i="15"/>
  <c r="H34" i="15"/>
  <c r="I34" i="15"/>
  <c r="K34" i="15"/>
  <c r="G12" i="15"/>
  <c r="H12" i="15"/>
  <c r="I12" i="15"/>
  <c r="K12" i="15"/>
  <c r="E8" i="16" l="1"/>
  <c r="F8" i="16" s="1"/>
  <c r="H8" i="16" s="1"/>
  <c r="F7" i="20"/>
  <c r="D4" i="19" s="1"/>
  <c r="C7" i="20"/>
  <c r="C4" i="19" s="1"/>
  <c r="G19" i="46" l="1"/>
  <c r="H19" i="46"/>
  <c r="I19" i="46"/>
  <c r="E37" i="46"/>
  <c r="D52" i="1" l="1"/>
  <c r="D5" i="1" l="1"/>
  <c r="C36" i="36"/>
  <c r="C74" i="36" s="1"/>
  <c r="C75" i="36" l="1"/>
  <c r="C76" i="36"/>
  <c r="O4" i="36"/>
  <c r="P4" i="36"/>
  <c r="F6" i="35"/>
  <c r="F11" i="35" s="1"/>
  <c r="G6" i="35"/>
  <c r="H26" i="46" l="1"/>
  <c r="F14" i="35"/>
  <c r="F15" i="35" s="1"/>
  <c r="C78" i="36"/>
  <c r="G14" i="35"/>
  <c r="G15" i="35" s="1"/>
  <c r="G11" i="35"/>
  <c r="I26" i="46" s="1"/>
  <c r="G26" i="46"/>
  <c r="E122" i="1"/>
  <c r="D122" i="1"/>
  <c r="E96" i="9"/>
  <c r="G17" i="46" l="1"/>
  <c r="H17" i="46"/>
  <c r="I17" i="46"/>
  <c r="G18" i="46"/>
  <c r="H18" i="46"/>
  <c r="I18" i="46"/>
  <c r="G16" i="46"/>
  <c r="H16" i="46"/>
  <c r="I16" i="46"/>
  <c r="E126" i="1"/>
  <c r="E127" i="1"/>
  <c r="D126" i="1"/>
  <c r="D125" i="1"/>
  <c r="E125" i="1"/>
  <c r="D124" i="1"/>
  <c r="E124" i="1"/>
  <c r="E123" i="1"/>
  <c r="E82" i="9" l="1"/>
  <c r="E83" i="9" s="1"/>
  <c r="G15" i="46"/>
  <c r="I15" i="46"/>
  <c r="H15" i="46"/>
  <c r="D123" i="1"/>
  <c r="D127" i="1"/>
  <c r="E46" i="9"/>
  <c r="E53" i="9" s="1"/>
  <c r="E86" i="12" l="1"/>
  <c r="E54" i="9"/>
  <c r="E55" i="9" s="1"/>
  <c r="D88" i="1"/>
  <c r="E88" i="1"/>
  <c r="D89" i="1"/>
  <c r="E89" i="1"/>
  <c r="D90" i="1"/>
  <c r="E90" i="1"/>
  <c r="D91" i="1"/>
  <c r="E91" i="1"/>
  <c r="H8" i="46"/>
  <c r="I8" i="46"/>
  <c r="G8" i="46"/>
  <c r="F2" i="13" l="1"/>
  <c r="C51" i="7" l="1"/>
  <c r="D6" i="7"/>
  <c r="D51" i="7" s="1"/>
  <c r="D3" i="36"/>
  <c r="C3" i="36"/>
  <c r="E4" i="1"/>
  <c r="D4" i="1"/>
  <c r="E6" i="7" l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I40" i="46" l="1"/>
  <c r="H40" i="46"/>
  <c r="G40" i="46"/>
  <c r="E30" i="45"/>
  <c r="F4" i="45" l="1"/>
  <c r="E4" i="45"/>
  <c r="D4" i="45" s="1"/>
  <c r="C4" i="45" s="1"/>
  <c r="F30" i="45"/>
  <c r="F24" i="12"/>
  <c r="E24" i="12"/>
  <c r="E26" i="23" l="1"/>
  <c r="F26" i="22"/>
  <c r="F65" i="22" s="1"/>
  <c r="E65" i="12"/>
  <c r="E68" i="23"/>
  <c r="E26" i="22"/>
  <c r="E65" i="22" s="1"/>
  <c r="F26" i="23"/>
  <c r="F68" i="23" s="1"/>
  <c r="F65" i="12"/>
  <c r="D14" i="1"/>
  <c r="E120" i="1" l="1"/>
  <c r="D120" i="1"/>
  <c r="I19" i="13" l="1"/>
  <c r="D15" i="13"/>
  <c r="G4" i="13"/>
  <c r="I7" i="13"/>
  <c r="I2" i="13" l="1"/>
  <c r="G15" i="13"/>
  <c r="C15" i="24" l="1"/>
  <c r="F12" i="12" s="1"/>
  <c r="B15" i="24"/>
  <c r="D62" i="7" l="1"/>
  <c r="D101" i="7" s="1"/>
  <c r="C62" i="7"/>
  <c r="C101" i="7" s="1"/>
  <c r="E33" i="23" l="1"/>
  <c r="F89" i="23"/>
  <c r="F86" i="22" s="1"/>
  <c r="E89" i="23"/>
  <c r="E86" i="22" s="1"/>
  <c r="F87" i="23"/>
  <c r="F84" i="22" s="1"/>
  <c r="E87" i="23"/>
  <c r="E84" i="22" s="1"/>
  <c r="F74" i="23"/>
  <c r="E74" i="23"/>
  <c r="F34" i="23"/>
  <c r="E34" i="23"/>
  <c r="F33" i="23"/>
  <c r="F31" i="23"/>
  <c r="E31" i="23"/>
  <c r="E129" i="1" l="1"/>
  <c r="D129" i="1"/>
  <c r="E82" i="1"/>
  <c r="D82" i="1"/>
  <c r="E40" i="23" l="1"/>
  <c r="E40" i="22"/>
  <c r="D99" i="1"/>
  <c r="E41" i="23"/>
  <c r="E41" i="22"/>
  <c r="D100" i="1"/>
  <c r="F41" i="23"/>
  <c r="F41" i="22"/>
  <c r="E100" i="1"/>
  <c r="F40" i="23"/>
  <c r="F40" i="22"/>
  <c r="E99" i="1"/>
  <c r="F71" i="12"/>
  <c r="F71" i="22" s="1"/>
  <c r="E71" i="12"/>
  <c r="E71" i="22" s="1"/>
  <c r="E130" i="1" l="1"/>
  <c r="D130" i="1"/>
  <c r="D131" i="1"/>
  <c r="E131" i="1"/>
  <c r="D23" i="13" l="1"/>
  <c r="D19" i="13"/>
  <c r="G19" i="13"/>
  <c r="Q84" i="36" l="1"/>
  <c r="F10" i="12" l="1"/>
  <c r="E10" i="12"/>
  <c r="R84" i="36"/>
  <c r="O14" i="36" l="1"/>
  <c r="P14" i="36"/>
  <c r="E23" i="13" l="1"/>
  <c r="G46" i="9" l="1"/>
  <c r="D79" i="7" l="1"/>
  <c r="F24" i="35" l="1"/>
  <c r="F21" i="35"/>
  <c r="F20" i="35"/>
  <c r="F19" i="35"/>
  <c r="F22" i="35" l="1"/>
  <c r="D12" i="1"/>
  <c r="E39" i="46" l="1"/>
  <c r="D44" i="46"/>
  <c r="E44" i="46" s="1"/>
  <c r="D48" i="46" l="1"/>
  <c r="E83" i="12"/>
  <c r="E92" i="1" l="1"/>
  <c r="F32" i="12"/>
  <c r="D92" i="1"/>
  <c r="E32" i="12"/>
  <c r="G53" i="9"/>
  <c r="F86" i="12" l="1"/>
  <c r="G54" i="9"/>
  <c r="G55" i="9" s="1"/>
  <c r="F31" i="12"/>
  <c r="E31" i="12"/>
  <c r="E79" i="1" l="1"/>
  <c r="D79" i="1"/>
  <c r="F72" i="22" l="1"/>
  <c r="E72" i="22"/>
  <c r="F75" i="23"/>
  <c r="E75" i="23"/>
  <c r="G7" i="46" l="1"/>
  <c r="E128" i="1" l="1"/>
  <c r="D128" i="1"/>
  <c r="I43" i="46" l="1"/>
  <c r="G44" i="46"/>
  <c r="H44" i="46" s="1"/>
  <c r="I44" i="46" l="1"/>
  <c r="C48" i="46" l="1"/>
  <c r="C22" i="46"/>
  <c r="G35" i="46" l="1"/>
  <c r="G37" i="46" s="1"/>
  <c r="H35" i="46" l="1"/>
  <c r="H37" i="46" s="1"/>
  <c r="I35" i="46" l="1"/>
  <c r="I37" i="46" s="1"/>
  <c r="H7" i="46" l="1"/>
  <c r="C11" i="35"/>
  <c r="C4" i="35"/>
  <c r="C14" i="35" l="1"/>
  <c r="I7" i="46"/>
  <c r="G25" i="46" l="1"/>
  <c r="G28" i="46" s="1"/>
  <c r="H25" i="46" l="1"/>
  <c r="H28" i="46" s="1"/>
  <c r="I25" i="46" l="1"/>
  <c r="F54" i="9"/>
  <c r="F55" i="9" s="1"/>
  <c r="D22" i="46"/>
  <c r="E41" i="46"/>
  <c r="E48" i="46" s="1"/>
  <c r="I28" i="46" l="1"/>
  <c r="D50" i="46"/>
  <c r="F39" i="46"/>
  <c r="G39" i="46" s="1"/>
  <c r="E22" i="46" l="1"/>
  <c r="E50" i="46" s="1"/>
  <c r="G47" i="46"/>
  <c r="H47" i="46" l="1"/>
  <c r="I47" i="46" l="1"/>
  <c r="F84" i="12" l="1"/>
  <c r="F77" i="12"/>
  <c r="F78" i="12"/>
  <c r="E78" i="12"/>
  <c r="E77" i="12"/>
  <c r="F79" i="12" l="1"/>
  <c r="E84" i="12"/>
  <c r="E79" i="12"/>
  <c r="F82" i="12" l="1"/>
  <c r="E82" i="12"/>
  <c r="F21" i="12"/>
  <c r="E21" i="12"/>
  <c r="E86" i="23" l="1"/>
  <c r="E83" i="22" s="1"/>
  <c r="F86" i="23"/>
  <c r="F83" i="22" s="1"/>
  <c r="G6" i="46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85" i="1" l="1"/>
  <c r="E85" i="1"/>
  <c r="F83" i="12"/>
  <c r="E77" i="1"/>
  <c r="E78" i="1"/>
  <c r="E80" i="1"/>
  <c r="E81" i="1"/>
  <c r="D81" i="1"/>
  <c r="D80" i="1"/>
  <c r="D78" i="1"/>
  <c r="D77" i="1" l="1"/>
  <c r="F41" i="46"/>
  <c r="G13" i="46"/>
  <c r="G20" i="46" s="1"/>
  <c r="G11" i="46"/>
  <c r="D7" i="7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H39" i="46" l="1"/>
  <c r="H41" i="46" s="1"/>
  <c r="F22" i="46"/>
  <c r="H6" i="46"/>
  <c r="H13" i="46"/>
  <c r="H20" i="46" s="1"/>
  <c r="G41" i="46" l="1"/>
  <c r="G22" i="46"/>
  <c r="I13" i="46"/>
  <c r="I20" i="46" s="1"/>
  <c r="H11" i="46"/>
  <c r="I6" i="46" s="1"/>
  <c r="I11" i="46" s="1"/>
  <c r="I39" i="46"/>
  <c r="I41" i="46" s="1"/>
  <c r="H22" i="46" l="1"/>
  <c r="I22" i="46" l="1"/>
  <c r="F88" i="12" l="1"/>
  <c r="E88" i="12"/>
  <c r="F7" i="13" l="1"/>
  <c r="C35" i="20" l="1"/>
  <c r="D33" i="20" s="1"/>
  <c r="D47" i="20" s="1"/>
  <c r="C41" i="20"/>
  <c r="D109" i="1" l="1"/>
  <c r="E108" i="1" l="1"/>
  <c r="E109" i="1"/>
  <c r="E118" i="1"/>
  <c r="D118" i="1"/>
  <c r="D108" i="1"/>
  <c r="E29" i="12"/>
  <c r="F85" i="12"/>
  <c r="E85" i="12"/>
  <c r="E89" i="12" l="1"/>
  <c r="C34" i="7" l="1"/>
  <c r="D33" i="7" s="1"/>
  <c r="D34" i="7" s="1"/>
  <c r="H19" i="13" l="1"/>
  <c r="E19" i="13"/>
  <c r="C19" i="13" s="1"/>
  <c r="C8" i="13" s="1"/>
  <c r="F8" i="13" s="1"/>
  <c r="E73" i="1" l="1"/>
  <c r="H23" i="13"/>
  <c r="D73" i="1"/>
  <c r="C23" i="13"/>
  <c r="E76" i="1"/>
  <c r="E59" i="14"/>
  <c r="E70" i="1"/>
  <c r="E79" i="14"/>
  <c r="D76" i="1"/>
  <c r="E13" i="14"/>
  <c r="D70" i="1"/>
  <c r="E33" i="14"/>
  <c r="D74" i="1"/>
  <c r="E30" i="14"/>
  <c r="E74" i="1"/>
  <c r="E76" i="14"/>
  <c r="F9" i="13" l="1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F6" i="12" l="1"/>
  <c r="F39" i="20" l="1"/>
  <c r="F34" i="20"/>
  <c r="D34" i="20"/>
  <c r="F33" i="20" l="1"/>
  <c r="E13" i="12" l="1"/>
  <c r="F13" i="12"/>
  <c r="P8" i="3" l="1"/>
  <c r="Q8" i="3"/>
  <c r="R8" i="3"/>
  <c r="M65" i="14" l="1"/>
  <c r="M19" i="14"/>
  <c r="E7" i="23" l="1"/>
  <c r="F7" i="23"/>
  <c r="F76" i="23" l="1"/>
  <c r="D20" i="1" l="1"/>
  <c r="F14" i="12" l="1"/>
  <c r="E14" i="12"/>
  <c r="F17" i="12" l="1"/>
  <c r="P60" i="36" l="1"/>
  <c r="D8" i="4"/>
  <c r="E7" i="4"/>
  <c r="D7" i="4"/>
  <c r="E8" i="4" l="1"/>
  <c r="D18" i="1"/>
  <c r="D19" i="1"/>
  <c r="E84" i="1"/>
  <c r="D86" i="1"/>
  <c r="E86" i="1"/>
  <c r="E33" i="12" l="1"/>
  <c r="F33" i="12"/>
  <c r="D112" i="1"/>
  <c r="E63" i="12"/>
  <c r="E112" i="1"/>
  <c r="F63" i="12"/>
  <c r="F63" i="22" l="1"/>
  <c r="F66" i="23"/>
  <c r="E63" i="22"/>
  <c r="E66" i="23"/>
  <c r="D17" i="1"/>
  <c r="E12" i="12" s="1"/>
  <c r="D28" i="1"/>
  <c r="D29" i="1"/>
  <c r="D35" i="1"/>
  <c r="D36" i="1"/>
  <c r="D34" i="1"/>
  <c r="D33" i="1"/>
  <c r="D32" i="1"/>
  <c r="D31" i="1"/>
  <c r="D39" i="1"/>
  <c r="D46" i="1"/>
  <c r="D62" i="1"/>
  <c r="D63" i="1"/>
  <c r="D65" i="1"/>
  <c r="D66" i="1"/>
  <c r="D64" i="1" s="1"/>
  <c r="D6" i="1"/>
  <c r="D9" i="1"/>
  <c r="D11" i="1"/>
  <c r="D13" i="1"/>
  <c r="D15" i="1"/>
  <c r="D16" i="1"/>
  <c r="D40" i="1" l="1"/>
  <c r="D30" i="1"/>
  <c r="E17" i="12"/>
  <c r="D56" i="1" l="1"/>
  <c r="O60" i="36"/>
  <c r="E83" i="1" l="1"/>
  <c r="D83" i="1"/>
  <c r="E20" i="12" l="1"/>
  <c r="F20" i="12"/>
  <c r="P72" i="36" l="1"/>
  <c r="O72" i="36"/>
  <c r="F29" i="12" l="1"/>
  <c r="E35" i="23" l="1"/>
  <c r="F69" i="23" l="1"/>
  <c r="E69" i="23"/>
  <c r="F90" i="23"/>
  <c r="E90" i="23"/>
  <c r="F66" i="22"/>
  <c r="E66" i="22"/>
  <c r="F87" i="22" l="1"/>
  <c r="E87" i="22"/>
  <c r="H28" i="20"/>
  <c r="I28" i="20" s="1"/>
  <c r="J28" i="20" s="1"/>
  <c r="D28" i="20"/>
  <c r="E28" i="20" s="1"/>
  <c r="F28" i="20" s="1"/>
  <c r="E91" i="23" l="1"/>
  <c r="R34" i="7" l="1"/>
  <c r="C65" i="7" l="1"/>
  <c r="F15" i="23" l="1"/>
  <c r="E15" i="23"/>
  <c r="F15" i="22" l="1"/>
  <c r="E15" i="22"/>
  <c r="E62" i="7" l="1"/>
  <c r="E71" i="23" l="1"/>
  <c r="F71" i="23"/>
  <c r="C55" i="7" l="1"/>
  <c r="C9" i="7" l="1"/>
  <c r="D97" i="1" s="1"/>
  <c r="C30" i="7" l="1"/>
  <c r="S8" i="3" l="1"/>
  <c r="T8" i="3"/>
  <c r="D27" i="1" l="1"/>
  <c r="D30" i="7" l="1"/>
  <c r="E8" i="3" l="1"/>
  <c r="E30" i="12" l="1"/>
  <c r="E32" i="23" l="1"/>
  <c r="E67" i="12"/>
  <c r="H43" i="16"/>
  <c r="O20" i="15"/>
  <c r="O12" i="15"/>
  <c r="N12" i="15"/>
  <c r="N6" i="15" s="1"/>
  <c r="N20" i="15" l="1"/>
  <c r="F30" i="12"/>
  <c r="F36" i="12"/>
  <c r="F67" i="12" l="1"/>
  <c r="F32" i="23"/>
  <c r="F93" i="12"/>
  <c r="E93" i="12"/>
  <c r="E36" i="12"/>
  <c r="F89" i="12" l="1"/>
  <c r="F11" i="12" l="1"/>
  <c r="F15" i="12"/>
  <c r="F16" i="12"/>
  <c r="F19" i="12"/>
  <c r="E19" i="12"/>
  <c r="E16" i="12"/>
  <c r="E15" i="12"/>
  <c r="E11" i="12"/>
  <c r="O64" i="36" l="1"/>
  <c r="P64" i="36"/>
  <c r="O26" i="36"/>
  <c r="P36" i="36"/>
  <c r="O36" i="36"/>
  <c r="P26" i="36"/>
  <c r="O19" i="36"/>
  <c r="P19" i="36"/>
  <c r="G33" i="20" l="1"/>
  <c r="C118" i="7" l="1"/>
  <c r="G35" i="20" l="1"/>
  <c r="F23" i="20" l="1"/>
  <c r="C23" i="20"/>
  <c r="D59" i="7" l="1"/>
  <c r="C59" i="7"/>
  <c r="D98" i="7" l="1"/>
  <c r="C98" i="7"/>
  <c r="C78" i="7"/>
  <c r="F92" i="23"/>
  <c r="F89" i="22" s="1"/>
  <c r="E92" i="23"/>
  <c r="E89" i="22" s="1"/>
  <c r="H33" i="16" l="1"/>
  <c r="E33" i="16"/>
  <c r="H14" i="16" l="1"/>
  <c r="D90" i="7"/>
  <c r="C90" i="7"/>
  <c r="N16" i="15" l="1"/>
  <c r="N27" i="15" l="1"/>
  <c r="O33" i="15"/>
  <c r="N21" i="15"/>
  <c r="N28" i="15"/>
  <c r="N18" i="15"/>
  <c r="N17" i="15"/>
  <c r="N33" i="15"/>
  <c r="N22" i="15"/>
  <c r="N29" i="15"/>
  <c r="N23" i="15"/>
  <c r="N31" i="15"/>
  <c r="N25" i="15"/>
  <c r="N32" i="15"/>
  <c r="N26" i="15"/>
  <c r="O17" i="15"/>
  <c r="O30" i="15"/>
  <c r="O27" i="15"/>
  <c r="O23" i="15"/>
  <c r="O19" i="15"/>
  <c r="O26" i="15"/>
  <c r="N19" i="15"/>
  <c r="O29" i="15"/>
  <c r="O25" i="15"/>
  <c r="O32" i="15"/>
  <c r="O22" i="15"/>
  <c r="O31" i="15"/>
  <c r="N30" i="15"/>
  <c r="O18" i="15"/>
  <c r="O28" i="15"/>
  <c r="N24" i="15"/>
  <c r="O24" i="15"/>
  <c r="O21" i="15"/>
  <c r="O8" i="15"/>
  <c r="N9" i="15"/>
  <c r="E20" i="16" s="1"/>
  <c r="O9" i="15"/>
  <c r="H20" i="16" s="1"/>
  <c r="N10" i="15"/>
  <c r="E24" i="16" s="1"/>
  <c r="O7" i="15"/>
  <c r="O11" i="15"/>
  <c r="H26" i="16" s="1"/>
  <c r="N8" i="15"/>
  <c r="N11" i="15"/>
  <c r="E26" i="16" s="1"/>
  <c r="N7" i="15"/>
  <c r="E14" i="16" s="1"/>
  <c r="O10" i="15"/>
  <c r="H24" i="16" s="1"/>
  <c r="O16" i="15"/>
  <c r="O6" i="15"/>
  <c r="F68" i="22" l="1"/>
  <c r="N13" i="15"/>
  <c r="H16" i="16"/>
  <c r="E16" i="16"/>
  <c r="H10" i="16"/>
  <c r="E10" i="16"/>
  <c r="N35" i="15"/>
  <c r="E40" i="16"/>
  <c r="E42" i="16" s="1"/>
  <c r="O35" i="15"/>
  <c r="H40" i="16"/>
  <c r="O13" i="15"/>
  <c r="F19" i="13" l="1"/>
  <c r="I8" i="13" s="1"/>
  <c r="E34" i="22" l="1"/>
  <c r="F34" i="22"/>
  <c r="D6" i="42" l="1"/>
  <c r="C6" i="42"/>
  <c r="F7" i="22"/>
  <c r="E7" i="22"/>
  <c r="E6" i="42" l="1"/>
  <c r="F61" i="23"/>
  <c r="E61" i="23"/>
  <c r="F6" i="23"/>
  <c r="E6" i="23"/>
  <c r="F59" i="22"/>
  <c r="E59" i="22"/>
  <c r="F6" i="22"/>
  <c r="E6" i="22"/>
  <c r="F59" i="12"/>
  <c r="E59" i="12"/>
  <c r="E17" i="22" l="1"/>
  <c r="E17" i="23"/>
  <c r="F22" i="22"/>
  <c r="F22" i="23"/>
  <c r="F16" i="23"/>
  <c r="F16" i="22"/>
  <c r="E32" i="22"/>
  <c r="F32" i="22"/>
  <c r="F21" i="23"/>
  <c r="F21" i="22"/>
  <c r="F14" i="23"/>
  <c r="F14" i="22"/>
  <c r="E33" i="22"/>
  <c r="F31" i="22"/>
  <c r="F13" i="22"/>
  <c r="F13" i="23"/>
  <c r="E18" i="23"/>
  <c r="E18" i="22"/>
  <c r="F20" i="22"/>
  <c r="F20" i="23"/>
  <c r="E21" i="23"/>
  <c r="E21" i="22"/>
  <c r="F19" i="22"/>
  <c r="F19" i="23"/>
  <c r="E35" i="22"/>
  <c r="E19" i="22"/>
  <c r="E19" i="23"/>
  <c r="F18" i="22"/>
  <c r="F18" i="23"/>
  <c r="F12" i="22"/>
  <c r="F12" i="23"/>
  <c r="F35" i="23"/>
  <c r="F35" i="22"/>
  <c r="E31" i="22"/>
  <c r="E20" i="22"/>
  <c r="E20" i="23"/>
  <c r="E16" i="22"/>
  <c r="E16" i="23"/>
  <c r="E22" i="23"/>
  <c r="E22" i="22"/>
  <c r="F17" i="23"/>
  <c r="F17" i="22"/>
  <c r="F11" i="23"/>
  <c r="F11" i="22"/>
  <c r="F33" i="22"/>
  <c r="F81" i="23"/>
  <c r="F82" i="23"/>
  <c r="E82" i="23"/>
  <c r="E81" i="23"/>
  <c r="F78" i="22"/>
  <c r="F79" i="22"/>
  <c r="E79" i="22"/>
  <c r="E78" i="22"/>
  <c r="C94" i="7"/>
  <c r="D118" i="7"/>
  <c r="E98" i="7"/>
  <c r="E11" i="23" l="1"/>
  <c r="E11" i="22"/>
  <c r="E12" i="23"/>
  <c r="E12" i="22"/>
  <c r="E14" i="23"/>
  <c r="E14" i="22"/>
  <c r="E13" i="23"/>
  <c r="E13" i="22"/>
  <c r="C79" i="7"/>
  <c r="F73" i="22"/>
  <c r="F67" i="22"/>
  <c r="E67" i="22"/>
  <c r="F70" i="23"/>
  <c r="E70" i="23"/>
  <c r="C80" i="7" l="1"/>
  <c r="E83" i="23"/>
  <c r="E80" i="22"/>
  <c r="E59" i="7"/>
  <c r="F83" i="23"/>
  <c r="F80" i="22"/>
  <c r="C48" i="20"/>
  <c r="F47" i="20"/>
  <c r="D16" i="20" s="1"/>
  <c r="G40" i="20"/>
  <c r="H40" i="20"/>
  <c r="G39" i="20"/>
  <c r="G37" i="20"/>
  <c r="G34" i="20"/>
  <c r="G48" i="20" s="1"/>
  <c r="H34" i="20"/>
  <c r="J8" i="19"/>
  <c r="K8" i="19" s="1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M7" i="19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8" i="16" s="1"/>
  <c r="A29" i="16" s="1"/>
  <c r="A30" i="16" s="1"/>
  <c r="A37" i="16" s="1"/>
  <c r="A38" i="16" s="1"/>
  <c r="A39" i="16" s="1"/>
  <c r="A40" i="16" s="1"/>
  <c r="A41" i="16" s="1"/>
  <c r="A42" i="16" s="1"/>
  <c r="A43" i="16" s="1"/>
  <c r="A45" i="16" s="1"/>
  <c r="H48" i="20" l="1"/>
  <c r="H9" i="20" s="1"/>
  <c r="H33" i="20"/>
  <c r="J33" i="20"/>
  <c r="F40" i="20"/>
  <c r="C47" i="20"/>
  <c r="C49" i="20" s="1"/>
  <c r="J34" i="20"/>
  <c r="C40" i="16"/>
  <c r="D39" i="16" s="1"/>
  <c r="H42" i="16"/>
  <c r="G41" i="20"/>
  <c r="J40" i="20" s="1"/>
  <c r="D48" i="20"/>
  <c r="E9" i="20" s="1"/>
  <c r="G47" i="20"/>
  <c r="G49" i="20" s="1"/>
  <c r="L8" i="19"/>
  <c r="J9" i="19"/>
  <c r="K9" i="19" s="1"/>
  <c r="L9" i="19" s="1"/>
  <c r="M9" i="19" s="1"/>
  <c r="N9" i="19" s="1"/>
  <c r="O9" i="19" s="1"/>
  <c r="P9" i="19" s="1"/>
  <c r="Q9" i="19" s="1"/>
  <c r="R9" i="19" s="1"/>
  <c r="S9" i="19" s="1"/>
  <c r="T9" i="19" s="1"/>
  <c r="U9" i="19" s="1"/>
  <c r="V9" i="19" s="1"/>
  <c r="W9" i="19" s="1"/>
  <c r="F40" i="16"/>
  <c r="G39" i="16" s="1"/>
  <c r="J48" i="20" l="1"/>
  <c r="H16" i="20" s="1"/>
  <c r="X9" i="19"/>
  <c r="Y9" i="19" s="1"/>
  <c r="Z9" i="19" s="1"/>
  <c r="AA9" i="19" s="1"/>
  <c r="AB9" i="19" s="1"/>
  <c r="AC9" i="19" s="1"/>
  <c r="AD9" i="19" s="1"/>
  <c r="AE9" i="19" s="1"/>
  <c r="AF9" i="19" s="1"/>
  <c r="AG9" i="19" s="1"/>
  <c r="AH9" i="19" s="1"/>
  <c r="AI9" i="19" s="1"/>
  <c r="AJ9" i="19" s="1"/>
  <c r="AK9" i="19" s="1"/>
  <c r="K10" i="19"/>
  <c r="C12" i="19" s="1"/>
  <c r="D12" i="19" s="1"/>
  <c r="K9" i="20"/>
  <c r="F48" i="20"/>
  <c r="J39" i="20"/>
  <c r="J47" i="20" s="1"/>
  <c r="G16" i="20" s="1"/>
  <c r="L10" i="19"/>
  <c r="M8" i="19"/>
  <c r="J10" i="19"/>
  <c r="D38" i="16"/>
  <c r="E39" i="16"/>
  <c r="H39" i="16"/>
  <c r="G38" i="16"/>
  <c r="AL9" i="19" l="1"/>
  <c r="I44" i="20"/>
  <c r="H46" i="16"/>
  <c r="E46" i="16"/>
  <c r="E44" i="20"/>
  <c r="E16" i="20"/>
  <c r="F49" i="20"/>
  <c r="C16" i="20" s="1"/>
  <c r="J49" i="20"/>
  <c r="F16" i="20" s="1"/>
  <c r="L12" i="19"/>
  <c r="M10" i="19"/>
  <c r="M12" i="19" s="1"/>
  <c r="N8" i="19"/>
  <c r="E38" i="16"/>
  <c r="H38" i="16"/>
  <c r="AM9" i="19" l="1"/>
  <c r="AN9" i="19" s="1"/>
  <c r="AO9" i="19" s="1"/>
  <c r="AP9" i="19" s="1"/>
  <c r="AQ9" i="19" s="1"/>
  <c r="AR9" i="19" s="1"/>
  <c r="AS9" i="19" s="1"/>
  <c r="AT9" i="19" s="1"/>
  <c r="AU9" i="19" s="1"/>
  <c r="H45" i="16"/>
  <c r="E45" i="16"/>
  <c r="O8" i="19"/>
  <c r="N10" i="19"/>
  <c r="N12" i="19" s="1"/>
  <c r="E47" i="16" l="1"/>
  <c r="H47" i="16"/>
  <c r="O10" i="19"/>
  <c r="O12" i="19" s="1"/>
  <c r="P8" i="19"/>
  <c r="Q8" i="19" l="1"/>
  <c r="P10" i="19"/>
  <c r="P12" i="19" s="1"/>
  <c r="Q10" i="19" l="1"/>
  <c r="Q12" i="19" s="1"/>
  <c r="R8" i="19"/>
  <c r="S8" i="19" l="1"/>
  <c r="R10" i="19"/>
  <c r="R12" i="19" s="1"/>
  <c r="S10" i="19" l="1"/>
  <c r="S12" i="19" s="1"/>
  <c r="T8" i="19"/>
  <c r="U8" i="19" l="1"/>
  <c r="T10" i="19"/>
  <c r="T12" i="19" s="1"/>
  <c r="V8" i="19" l="1"/>
  <c r="U10" i="19"/>
  <c r="U12" i="19" s="1"/>
  <c r="W8" i="19" l="1"/>
  <c r="X8" i="19" s="1"/>
  <c r="V10" i="19"/>
  <c r="V12" i="19" s="1"/>
  <c r="W10" i="19" l="1"/>
  <c r="W12" i="19" s="1"/>
  <c r="X10" i="19" l="1"/>
  <c r="X12" i="19" s="1"/>
  <c r="Y8" i="19"/>
  <c r="Y10" i="19" l="1"/>
  <c r="Y12" i="19" s="1"/>
  <c r="Z8" i="19"/>
  <c r="AA8" i="19" s="1"/>
  <c r="AB8" i="19" s="1"/>
  <c r="AC8" i="19" l="1"/>
  <c r="AB10" i="19"/>
  <c r="AB12" i="19" s="1"/>
  <c r="AA10" i="19"/>
  <c r="AA12" i="19" s="1"/>
  <c r="Z10" i="19"/>
  <c r="Z12" i="19" s="1"/>
  <c r="AC10" i="19" l="1"/>
  <c r="AC12" i="19" s="1"/>
  <c r="AD8" i="19"/>
  <c r="F88" i="14"/>
  <c r="F87" i="14"/>
  <c r="F80" i="14"/>
  <c r="E81" i="14"/>
  <c r="F74" i="14"/>
  <c r="F71" i="14"/>
  <c r="F70" i="14"/>
  <c r="F69" i="14"/>
  <c r="F65" i="14"/>
  <c r="F64" i="14"/>
  <c r="F63" i="14"/>
  <c r="F62" i="14"/>
  <c r="F61" i="14"/>
  <c r="F60" i="14"/>
  <c r="B66" i="14"/>
  <c r="F50" i="14"/>
  <c r="F42" i="14"/>
  <c r="F41" i="14"/>
  <c r="F40" i="14"/>
  <c r="F34" i="14"/>
  <c r="E35" i="14"/>
  <c r="B35" i="14"/>
  <c r="F28" i="14"/>
  <c r="F25" i="14"/>
  <c r="F24" i="14"/>
  <c r="F19" i="14"/>
  <c r="F18" i="14"/>
  <c r="F17" i="14"/>
  <c r="F16" i="14"/>
  <c r="F15" i="14"/>
  <c r="B20" i="14"/>
  <c r="J11" i="14"/>
  <c r="F88" i="23"/>
  <c r="F85" i="22" s="1"/>
  <c r="F90" i="22" s="1"/>
  <c r="E88" i="23"/>
  <c r="E85" i="22" s="1"/>
  <c r="E90" i="22" s="1"/>
  <c r="AE8" i="19" l="1"/>
  <c r="AD10" i="19"/>
  <c r="AD12" i="19" s="1"/>
  <c r="F93" i="23"/>
  <c r="E93" i="23"/>
  <c r="F14" i="14"/>
  <c r="B37" i="14"/>
  <c r="F72" i="14"/>
  <c r="F23" i="14"/>
  <c r="F26" i="14" s="1"/>
  <c r="F43" i="14"/>
  <c r="F86" i="14"/>
  <c r="F89" i="14" s="1"/>
  <c r="J57" i="14"/>
  <c r="B81" i="14"/>
  <c r="B83" i="14" s="1"/>
  <c r="AF8" i="19" l="1"/>
  <c r="AE10" i="19"/>
  <c r="AE12" i="19" s="1"/>
  <c r="C66" i="7"/>
  <c r="C105" i="7" s="1"/>
  <c r="C35" i="7"/>
  <c r="AF10" i="19" l="1"/>
  <c r="AF12" i="19" s="1"/>
  <c r="AG8" i="19"/>
  <c r="D65" i="7"/>
  <c r="D104" i="7" s="1"/>
  <c r="F10" i="13"/>
  <c r="L12" i="14" s="1"/>
  <c r="D35" i="7"/>
  <c r="D36" i="7" s="1"/>
  <c r="C104" i="7"/>
  <c r="C67" i="7"/>
  <c r="C68" i="7" s="1"/>
  <c r="C36" i="7"/>
  <c r="F38" i="23"/>
  <c r="F38" i="22"/>
  <c r="D9" i="7"/>
  <c r="E97" i="1" s="1"/>
  <c r="E9" i="7"/>
  <c r="AH8" i="19" l="1"/>
  <c r="AG10" i="19"/>
  <c r="AG12" i="19" s="1"/>
  <c r="D5" i="19"/>
  <c r="C5" i="19"/>
  <c r="C117" i="7"/>
  <c r="C119" i="7" s="1"/>
  <c r="D67" i="7"/>
  <c r="C106" i="7"/>
  <c r="C107" i="7" s="1"/>
  <c r="E33" i="7"/>
  <c r="D66" i="7"/>
  <c r="F9" i="7"/>
  <c r="AI8" i="19" l="1"/>
  <c r="AH10" i="19"/>
  <c r="AH12" i="19" s="1"/>
  <c r="D106" i="7"/>
  <c r="D107" i="7" s="1"/>
  <c r="D68" i="7"/>
  <c r="E34" i="7"/>
  <c r="F33" i="7" s="1"/>
  <c r="E65" i="7"/>
  <c r="E66" i="7" s="1"/>
  <c r="E67" i="7" s="1"/>
  <c r="E68" i="7" s="1"/>
  <c r="D105" i="7"/>
  <c r="E104" i="7" s="1"/>
  <c r="E105" i="7" s="1"/>
  <c r="E106" i="7" s="1"/>
  <c r="E107" i="7" s="1"/>
  <c r="G9" i="7"/>
  <c r="AJ8" i="19" l="1"/>
  <c r="AI10" i="19"/>
  <c r="AI12" i="19" s="1"/>
  <c r="E35" i="7"/>
  <c r="E36" i="7" s="1"/>
  <c r="F34" i="7"/>
  <c r="G33" i="7" s="1"/>
  <c r="G34" i="7" s="1"/>
  <c r="H33" i="7" s="1"/>
  <c r="H34" i="7" s="1"/>
  <c r="I33" i="7" s="1"/>
  <c r="I34" i="7" s="1"/>
  <c r="H9" i="7"/>
  <c r="AK8" i="19" l="1"/>
  <c r="AJ10" i="19"/>
  <c r="AJ12" i="19" s="1"/>
  <c r="G35" i="7"/>
  <c r="G36" i="7" s="1"/>
  <c r="F35" i="7"/>
  <c r="F36" i="7" s="1"/>
  <c r="H35" i="7"/>
  <c r="H36" i="7" s="1"/>
  <c r="J33" i="7"/>
  <c r="J34" i="7" s="1"/>
  <c r="I9" i="7"/>
  <c r="AL8" i="19" l="1"/>
  <c r="AK10" i="19"/>
  <c r="AK12" i="19" s="1"/>
  <c r="I35" i="7"/>
  <c r="I36" i="7" s="1"/>
  <c r="K33" i="7"/>
  <c r="K34" i="7" s="1"/>
  <c r="J9" i="7"/>
  <c r="AM8" i="19" l="1"/>
  <c r="AL10" i="19"/>
  <c r="AL12" i="19" s="1"/>
  <c r="J35" i="7"/>
  <c r="J36" i="7" s="1"/>
  <c r="L33" i="7"/>
  <c r="L34" i="7" s="1"/>
  <c r="K9" i="7"/>
  <c r="AN8" i="19" l="1"/>
  <c r="AM10" i="19"/>
  <c r="AM12" i="19" s="1"/>
  <c r="K35" i="7"/>
  <c r="K36" i="7" s="1"/>
  <c r="M33" i="7"/>
  <c r="M34" i="7" s="1"/>
  <c r="M9" i="7"/>
  <c r="L9" i="7"/>
  <c r="AO8" i="19" l="1"/>
  <c r="AN10" i="19"/>
  <c r="AN12" i="19" s="1"/>
  <c r="L35" i="7"/>
  <c r="L36" i="7" s="1"/>
  <c r="N33" i="7"/>
  <c r="N34" i="7" s="1"/>
  <c r="AP8" i="19" l="1"/>
  <c r="AO10" i="19"/>
  <c r="AO12" i="19" s="1"/>
  <c r="M35" i="7"/>
  <c r="M36" i="7" s="1"/>
  <c r="O33" i="7"/>
  <c r="O34" i="7" s="1"/>
  <c r="N9" i="7"/>
  <c r="AQ8" i="19" l="1"/>
  <c r="AP10" i="19"/>
  <c r="AP12" i="19" s="1"/>
  <c r="N35" i="7"/>
  <c r="N36" i="7" s="1"/>
  <c r="P33" i="7"/>
  <c r="P34" i="7" s="1"/>
  <c r="O9" i="7"/>
  <c r="AR8" i="19" l="1"/>
  <c r="AQ10" i="19"/>
  <c r="AQ12" i="19" s="1"/>
  <c r="O35" i="7"/>
  <c r="O36" i="7" s="1"/>
  <c r="Q33" i="7"/>
  <c r="Q34" i="7" s="1"/>
  <c r="Q9" i="7"/>
  <c r="P9" i="7"/>
  <c r="AS8" i="19" l="1"/>
  <c r="AR10" i="19"/>
  <c r="AR12" i="19" s="1"/>
  <c r="P35" i="7"/>
  <c r="P36" i="7" s="1"/>
  <c r="Q35" i="7"/>
  <c r="Q36" i="7" s="1"/>
  <c r="AT8" i="19" l="1"/>
  <c r="AS10" i="19"/>
  <c r="AS12" i="19" s="1"/>
  <c r="E38" i="23"/>
  <c r="E38" i="22"/>
  <c r="AU8" i="19" l="1"/>
  <c r="AU10" i="19" s="1"/>
  <c r="AU12" i="19" s="1"/>
  <c r="AT10" i="19"/>
  <c r="AT12" i="19" s="1"/>
  <c r="E68" i="22" l="1"/>
  <c r="D41" i="20" l="1"/>
  <c r="H41" i="20" s="1"/>
  <c r="H47" i="20"/>
  <c r="H49" i="20" l="1"/>
  <c r="F9" i="20" s="1"/>
  <c r="G9" i="20"/>
  <c r="D49" i="20"/>
  <c r="D9" i="20"/>
  <c r="C9" i="20" l="1"/>
  <c r="J9" i="20"/>
  <c r="I9" i="20" s="1"/>
  <c r="F23" i="22" l="1"/>
  <c r="F23" i="23"/>
  <c r="E23" i="23"/>
  <c r="E23" i="22"/>
  <c r="C50" i="46" l="1"/>
  <c r="G23" i="13" l="1"/>
  <c r="F23" i="13" s="1"/>
  <c r="I9" i="13" s="1"/>
  <c r="I10" i="13" s="1"/>
  <c r="L58" i="14" s="1"/>
  <c r="I23" i="13" l="1"/>
  <c r="C14" i="45" l="1"/>
  <c r="D14" i="45" l="1"/>
  <c r="F14" i="45" l="1"/>
  <c r="E75" i="1"/>
  <c r="E14" i="45"/>
  <c r="D75" i="1"/>
  <c r="D111" i="1" l="1"/>
  <c r="E111" i="1"/>
  <c r="E23" i="12"/>
  <c r="F23" i="12"/>
  <c r="E25" i="23" l="1"/>
  <c r="F25" i="22"/>
  <c r="F25" i="23"/>
  <c r="E25" i="22"/>
  <c r="C14" i="16" l="1"/>
  <c r="D13" i="16" s="1"/>
  <c r="C24" i="16" l="1"/>
  <c r="D23" i="16" s="1"/>
  <c r="D12" i="16"/>
  <c r="E13" i="16"/>
  <c r="F14" i="16"/>
  <c r="G13" i="16" s="1"/>
  <c r="E35" i="20" l="1"/>
  <c r="E12" i="16"/>
  <c r="E23" i="16"/>
  <c r="D22" i="16"/>
  <c r="H13" i="16"/>
  <c r="G12" i="16"/>
  <c r="F24" i="16"/>
  <c r="G23" i="16" s="1"/>
  <c r="G22" i="16" l="1"/>
  <c r="H23" i="16"/>
  <c r="I35" i="20"/>
  <c r="H12" i="16"/>
  <c r="E33" i="20"/>
  <c r="E34" i="20" s="1"/>
  <c r="E22" i="16"/>
  <c r="E41" i="20"/>
  <c r="I33" i="20" l="1"/>
  <c r="I34" i="20" s="1"/>
  <c r="I41" i="20"/>
  <c r="H22" i="16"/>
  <c r="E39" i="20"/>
  <c r="E40" i="20" s="1"/>
  <c r="E48" i="20" s="1"/>
  <c r="E8" i="20" s="1"/>
  <c r="C20" i="16"/>
  <c r="D19" i="16" s="1"/>
  <c r="I39" i="20" l="1"/>
  <c r="I40" i="20" s="1"/>
  <c r="I48" i="20" s="1"/>
  <c r="H8" i="20" s="1"/>
  <c r="K8" i="20" s="1"/>
  <c r="E19" i="16"/>
  <c r="D18" i="16"/>
  <c r="D8" i="45"/>
  <c r="C8" i="45" l="1"/>
  <c r="E18" i="16"/>
  <c r="E28" i="16" s="1"/>
  <c r="E57" i="16" s="1"/>
  <c r="E37" i="20"/>
  <c r="E47" i="20" s="1"/>
  <c r="E29" i="16"/>
  <c r="G31" i="46"/>
  <c r="D15" i="45"/>
  <c r="F20" i="16"/>
  <c r="G19" i="16" s="1"/>
  <c r="D72" i="1"/>
  <c r="D8" i="20" l="1"/>
  <c r="E49" i="20"/>
  <c r="E30" i="16"/>
  <c r="H19" i="16"/>
  <c r="G18" i="16"/>
  <c r="C15" i="45"/>
  <c r="E72" i="1"/>
  <c r="I37" i="20" l="1"/>
  <c r="I47" i="20" s="1"/>
  <c r="H18" i="16"/>
  <c r="H28" i="16" s="1"/>
  <c r="H29" i="16"/>
  <c r="G30" i="46"/>
  <c r="G33" i="46" s="1"/>
  <c r="F48" i="46"/>
  <c r="F50" i="46" s="1"/>
  <c r="C8" i="20"/>
  <c r="F5" i="13"/>
  <c r="K12" i="14" s="1"/>
  <c r="H30" i="46" l="1"/>
  <c r="G48" i="46"/>
  <c r="G50" i="46" s="1"/>
  <c r="G8" i="20"/>
  <c r="I49" i="20"/>
  <c r="M12" i="14"/>
  <c r="L13" i="14" s="1"/>
  <c r="H30" i="16"/>
  <c r="I5" i="13"/>
  <c r="K58" i="14" s="1"/>
  <c r="K13" i="14" l="1"/>
  <c r="M58" i="14"/>
  <c r="L59" i="14" s="1"/>
  <c r="E8" i="45"/>
  <c r="D71" i="1"/>
  <c r="E12" i="14"/>
  <c r="E20" i="14" s="1"/>
  <c r="E37" i="14" s="1"/>
  <c r="E45" i="14" s="1"/>
  <c r="L19" i="14"/>
  <c r="K19" i="14" s="1"/>
  <c r="F8" i="20"/>
  <c r="J8" i="20"/>
  <c r="K59" i="14" l="1"/>
  <c r="F8" i="45"/>
  <c r="E71" i="1"/>
  <c r="E58" i="14"/>
  <c r="E66" i="14" s="1"/>
  <c r="E83" i="14" s="1"/>
  <c r="E91" i="14" s="1"/>
  <c r="H31" i="46"/>
  <c r="H33" i="46" s="1"/>
  <c r="E22" i="12"/>
  <c r="E15" i="45"/>
  <c r="E32" i="45" s="1"/>
  <c r="I8" i="20"/>
  <c r="D110" i="1"/>
  <c r="L65" i="14"/>
  <c r="K65" i="14" s="1"/>
  <c r="E24" i="23" l="1"/>
  <c r="I30" i="46"/>
  <c r="H48" i="46"/>
  <c r="H50" i="46" s="1"/>
  <c r="I31" i="46"/>
  <c r="F22" i="12"/>
  <c r="F15" i="45"/>
  <c r="F32" i="45" s="1"/>
  <c r="D133" i="1"/>
  <c r="E25" i="12"/>
  <c r="E24" i="22"/>
  <c r="E64" i="12"/>
  <c r="E110" i="1"/>
  <c r="I33" i="46" l="1"/>
  <c r="E27" i="23"/>
  <c r="E63" i="23" s="1"/>
  <c r="E133" i="1"/>
  <c r="E61" i="12"/>
  <c r="E64" i="22"/>
  <c r="E27" i="22"/>
  <c r="E98" i="22" s="1"/>
  <c r="E97" i="22" s="1"/>
  <c r="C91" i="7" s="1"/>
  <c r="C95" i="7" s="1"/>
  <c r="C96" i="7" s="1"/>
  <c r="C99" i="7" s="1"/>
  <c r="C115" i="7" s="1"/>
  <c r="E67" i="23"/>
  <c r="F24" i="22"/>
  <c r="F25" i="12"/>
  <c r="F24" i="23"/>
  <c r="F64" i="12"/>
  <c r="E101" i="23" l="1"/>
  <c r="C52" i="7" s="1"/>
  <c r="C56" i="7" s="1"/>
  <c r="F61" i="12"/>
  <c r="D94" i="7"/>
  <c r="E73" i="12"/>
  <c r="E44" i="12"/>
  <c r="E46" i="12" s="1"/>
  <c r="C20" i="20"/>
  <c r="I48" i="46"/>
  <c r="I50" i="46" s="1"/>
  <c r="F20" i="20"/>
  <c r="F64" i="22"/>
  <c r="F27" i="22"/>
  <c r="F98" i="22" s="1"/>
  <c r="F67" i="23"/>
  <c r="F27" i="23"/>
  <c r="F63" i="23" s="1"/>
  <c r="F44" i="12" l="1"/>
  <c r="F73" i="12"/>
  <c r="F91" i="12" s="1"/>
  <c r="C57" i="7"/>
  <c r="D55" i="7"/>
  <c r="D78" i="7" s="1"/>
  <c r="D80" i="7" s="1"/>
  <c r="F101" i="23" s="1"/>
  <c r="E39" i="22"/>
  <c r="M17" i="14"/>
  <c r="E91" i="12"/>
  <c r="D117" i="7"/>
  <c r="D119" i="7" s="1"/>
  <c r="F46" i="12"/>
  <c r="M63" i="14"/>
  <c r="F97" i="22" l="1"/>
  <c r="D91" i="7" s="1"/>
  <c r="D95" i="7" s="1"/>
  <c r="C60" i="7"/>
  <c r="C76" i="7" s="1"/>
  <c r="E39" i="23" s="1"/>
  <c r="E42" i="22"/>
  <c r="F95" i="12"/>
  <c r="D20" i="7" s="1"/>
  <c r="D52" i="7"/>
  <c r="D56" i="7" s="1"/>
  <c r="E95" i="12"/>
  <c r="C20" i="7" s="1"/>
  <c r="C24" i="7" s="1"/>
  <c r="F21" i="20"/>
  <c r="F22" i="20" s="1"/>
  <c r="F24" i="20" s="1"/>
  <c r="M68" i="14"/>
  <c r="L63" i="14"/>
  <c r="K63" i="14" s="1"/>
  <c r="D58" i="14" s="1"/>
  <c r="C21" i="20"/>
  <c r="C22" i="20" s="1"/>
  <c r="C24" i="20" s="1"/>
  <c r="M22" i="14"/>
  <c r="L17" i="14"/>
  <c r="E44" i="22" l="1"/>
  <c r="E46" i="22" s="1"/>
  <c r="E61" i="22" s="1"/>
  <c r="E74" i="22" s="1"/>
  <c r="E92" i="22" s="1"/>
  <c r="E94" i="7"/>
  <c r="E95" i="7" s="1"/>
  <c r="E96" i="7" s="1"/>
  <c r="E99" i="7" s="1"/>
  <c r="E115" i="7" s="1"/>
  <c r="D96" i="7"/>
  <c r="D99" i="7" s="1"/>
  <c r="D115" i="7" s="1"/>
  <c r="F39" i="22" s="1"/>
  <c r="F42" i="22" s="1"/>
  <c r="C25" i="7"/>
  <c r="C28" i="7" s="1"/>
  <c r="C38" i="7" s="1"/>
  <c r="C10" i="7" s="1"/>
  <c r="D23" i="7"/>
  <c r="D24" i="7" s="1"/>
  <c r="E42" i="23"/>
  <c r="E55" i="7"/>
  <c r="E56" i="7" s="1"/>
  <c r="E57" i="7" s="1"/>
  <c r="E60" i="7" s="1"/>
  <c r="E76" i="7" s="1"/>
  <c r="D57" i="7"/>
  <c r="K17" i="14"/>
  <c r="D12" i="14" s="1"/>
  <c r="D30" i="14"/>
  <c r="D33" i="14"/>
  <c r="E134" i="1"/>
  <c r="E141" i="1" s="1"/>
  <c r="D10" i="19"/>
  <c r="D79" i="14"/>
  <c r="D76" i="14"/>
  <c r="D59" i="14" s="1"/>
  <c r="F44" i="22" l="1"/>
  <c r="F46" i="22" s="1"/>
  <c r="F61" i="22" s="1"/>
  <c r="F74" i="22" s="1"/>
  <c r="F92" i="22" s="1"/>
  <c r="D60" i="7"/>
  <c r="D76" i="7" s="1"/>
  <c r="F39" i="23" s="1"/>
  <c r="D25" i="7"/>
  <c r="D28" i="7" s="1"/>
  <c r="D38" i="7" s="1"/>
  <c r="D10" i="7" s="1"/>
  <c r="E23" i="7"/>
  <c r="C11" i="7"/>
  <c r="D98" i="1" s="1"/>
  <c r="E37" i="12"/>
  <c r="D13" i="14"/>
  <c r="E145" i="1"/>
  <c r="E44" i="23"/>
  <c r="C7" i="42" s="1"/>
  <c r="C8" i="42" s="1"/>
  <c r="E20" i="7"/>
  <c r="E135" i="1"/>
  <c r="D136" i="1"/>
  <c r="D66" i="14"/>
  <c r="D35" i="14"/>
  <c r="D137" i="1"/>
  <c r="E136" i="1"/>
  <c r="E143" i="1" s="1"/>
  <c r="D81" i="14"/>
  <c r="E137" i="1"/>
  <c r="E138" i="1"/>
  <c r="D134" i="1"/>
  <c r="C10" i="19"/>
  <c r="F42" i="23" l="1"/>
  <c r="E40" i="12"/>
  <c r="D11" i="7"/>
  <c r="E98" i="1" s="1"/>
  <c r="F37" i="12"/>
  <c r="E24" i="7"/>
  <c r="E25" i="7" s="1"/>
  <c r="E28" i="7" s="1"/>
  <c r="E38" i="7" s="1"/>
  <c r="E10" i="7" s="1"/>
  <c r="D141" i="1"/>
  <c r="E46" i="23"/>
  <c r="E64" i="23" s="1"/>
  <c r="E77" i="23" s="1"/>
  <c r="F20" i="7"/>
  <c r="D135" i="1"/>
  <c r="D139" i="1" s="1"/>
  <c r="D20" i="14"/>
  <c r="D37" i="14" s="1"/>
  <c r="D45" i="14" s="1"/>
  <c r="E144" i="1"/>
  <c r="E147" i="1" s="1"/>
  <c r="D144" i="1"/>
  <c r="E140" i="1"/>
  <c r="E142" i="1"/>
  <c r="E139" i="1"/>
  <c r="D83" i="14"/>
  <c r="D91" i="14" s="1"/>
  <c r="D143" i="1"/>
  <c r="D140" i="1"/>
  <c r="D138" i="1"/>
  <c r="F44" i="23" l="1"/>
  <c r="E95" i="23"/>
  <c r="G60" i="7" s="1"/>
  <c r="F23" i="7"/>
  <c r="F24" i="7" s="1"/>
  <c r="G23" i="7" s="1"/>
  <c r="M15" i="14"/>
  <c r="E42" i="12"/>
  <c r="F40" i="12"/>
  <c r="E146" i="1"/>
  <c r="D145" i="1"/>
  <c r="G20" i="7"/>
  <c r="E11" i="7"/>
  <c r="D142" i="1"/>
  <c r="D146" i="1" s="1"/>
  <c r="D147" i="1"/>
  <c r="D7" i="42" l="1"/>
  <c r="F46" i="23"/>
  <c r="F64" i="23" s="1"/>
  <c r="F77" i="23" s="1"/>
  <c r="F95" i="23" s="1"/>
  <c r="H60" i="7" s="1"/>
  <c r="I60" i="7" s="1"/>
  <c r="L15" i="14"/>
  <c r="K15" i="14" s="1"/>
  <c r="C12" i="14" s="1"/>
  <c r="E48" i="12"/>
  <c r="M61" i="14"/>
  <c r="F42" i="12"/>
  <c r="G24" i="7"/>
  <c r="H23" i="7" s="1"/>
  <c r="F25" i="7"/>
  <c r="F28" i="7" s="1"/>
  <c r="F38" i="7" s="1"/>
  <c r="F10" i="7" s="1"/>
  <c r="H20" i="7"/>
  <c r="E7" i="42" l="1"/>
  <c r="D8" i="42"/>
  <c r="E8" i="42" s="1"/>
  <c r="L61" i="14"/>
  <c r="K61" i="14" s="1"/>
  <c r="C58" i="14" s="1"/>
  <c r="F48" i="12"/>
  <c r="C8" i="19"/>
  <c r="D101" i="1"/>
  <c r="F12" i="14"/>
  <c r="C30" i="14"/>
  <c r="C33" i="14"/>
  <c r="G25" i="7"/>
  <c r="G28" i="7" s="1"/>
  <c r="G38" i="7" s="1"/>
  <c r="G10" i="7" s="1"/>
  <c r="K20" i="7"/>
  <c r="L20" i="7" s="1"/>
  <c r="M20" i="7" s="1"/>
  <c r="N20" i="7" s="1"/>
  <c r="O20" i="7" s="1"/>
  <c r="P20" i="7" s="1"/>
  <c r="Q20" i="7" s="1"/>
  <c r="F11" i="7"/>
  <c r="I20" i="7"/>
  <c r="H24" i="7"/>
  <c r="I23" i="7" s="1"/>
  <c r="C13" i="14" l="1"/>
  <c r="F13" i="14" s="1"/>
  <c r="F20" i="14" s="1"/>
  <c r="E101" i="1"/>
  <c r="D8" i="19"/>
  <c r="F58" i="14"/>
  <c r="D103" i="1"/>
  <c r="F30" i="14"/>
  <c r="D105" i="1"/>
  <c r="C35" i="14"/>
  <c r="D104" i="1"/>
  <c r="F33" i="14"/>
  <c r="F35" i="14" s="1"/>
  <c r="C76" i="14"/>
  <c r="C79" i="14"/>
  <c r="G11" i="7"/>
  <c r="I24" i="7"/>
  <c r="J23" i="7" s="1"/>
  <c r="J20" i="7"/>
  <c r="H25" i="7"/>
  <c r="H28" i="7" s="1"/>
  <c r="H38" i="7" s="1"/>
  <c r="H10" i="7" s="1"/>
  <c r="D102" i="1" l="1"/>
  <c r="F37" i="14"/>
  <c r="F45" i="14" s="1"/>
  <c r="C20" i="14"/>
  <c r="C37" i="14" s="1"/>
  <c r="C45" i="14" s="1"/>
  <c r="E104" i="1"/>
  <c r="C81" i="14"/>
  <c r="F79" i="14"/>
  <c r="F81" i="14" s="1"/>
  <c r="C59" i="14"/>
  <c r="E103" i="1"/>
  <c r="F76" i="14"/>
  <c r="D107" i="1"/>
  <c r="E105" i="1"/>
  <c r="D106" i="1"/>
  <c r="I25" i="7"/>
  <c r="I28" i="7" s="1"/>
  <c r="I38" i="7" s="1"/>
  <c r="I10" i="7" s="1"/>
  <c r="I11" i="7" s="1"/>
  <c r="H11" i="7"/>
  <c r="J24" i="7"/>
  <c r="K23" i="7" s="1"/>
  <c r="E107" i="1" l="1"/>
  <c r="C66" i="14"/>
  <c r="C83" i="14" s="1"/>
  <c r="C91" i="14" s="1"/>
  <c r="E102" i="1"/>
  <c r="F59" i="14"/>
  <c r="F66" i="14" s="1"/>
  <c r="F83" i="14" s="1"/>
  <c r="F91" i="14" s="1"/>
  <c r="K24" i="7"/>
  <c r="L23" i="7" s="1"/>
  <c r="J25" i="7"/>
  <c r="J28" i="7" s="1"/>
  <c r="J38" i="7" s="1"/>
  <c r="J10" i="7" s="1"/>
  <c r="E106" i="1" l="1"/>
  <c r="K25" i="7"/>
  <c r="K28" i="7" s="1"/>
  <c r="K38" i="7" s="1"/>
  <c r="K10" i="7" s="1"/>
  <c r="K11" i="7" s="1"/>
  <c r="J11" i="7"/>
  <c r="L24" i="7"/>
  <c r="M23" i="7" s="1"/>
  <c r="L25" i="7" l="1"/>
  <c r="L28" i="7" s="1"/>
  <c r="L38" i="7" s="1"/>
  <c r="L10" i="7" s="1"/>
  <c r="M24" i="7"/>
  <c r="N23" i="7" s="1"/>
  <c r="M25" i="7" l="1"/>
  <c r="M28" i="7" s="1"/>
  <c r="M38" i="7" s="1"/>
  <c r="M10" i="7" s="1"/>
  <c r="N24" i="7"/>
  <c r="O23" i="7" s="1"/>
  <c r="L11" i="7"/>
  <c r="M11" i="7" l="1"/>
  <c r="N25" i="7"/>
  <c r="N28" i="7" s="1"/>
  <c r="N38" i="7" s="1"/>
  <c r="N10" i="7" s="1"/>
  <c r="N11" i="7" s="1"/>
  <c r="O24" i="7"/>
  <c r="P23" i="7" s="1"/>
  <c r="O25" i="7" l="1"/>
  <c r="O28" i="7" s="1"/>
  <c r="O38" i="7" s="1"/>
  <c r="O10" i="7" s="1"/>
  <c r="O11" i="7" s="1"/>
  <c r="P24" i="7"/>
  <c r="Q23" i="7" s="1"/>
  <c r="Q24" i="7" s="1"/>
  <c r="Q25" i="7" s="1"/>
  <c r="Q28" i="7" s="1"/>
  <c r="Q38" i="7" s="1"/>
  <c r="Q10" i="7" s="1"/>
  <c r="Q11" i="7" l="1"/>
  <c r="P25" i="7"/>
  <c r="P28" i="7" s="1"/>
  <c r="P38" i="7" s="1"/>
  <c r="P10" i="7" s="1"/>
  <c r="P11" i="7" l="1"/>
  <c r="C18" i="20" l="1"/>
  <c r="C11" i="20" s="1"/>
  <c r="C6" i="19"/>
  <c r="C7" i="19" s="1"/>
  <c r="C11" i="19" s="1"/>
  <c r="C9" i="19" l="1"/>
  <c r="F18" i="20"/>
  <c r="D6" i="19"/>
  <c r="D7" i="19" s="1"/>
  <c r="C10" i="20"/>
  <c r="C13" i="19" l="1"/>
  <c r="D9" i="19"/>
  <c r="D11" i="19"/>
  <c r="D10" i="20"/>
  <c r="E10" i="20" s="1"/>
  <c r="C12" i="20"/>
  <c r="D11" i="20"/>
  <c r="E11" i="20" s="1"/>
  <c r="F10" i="20"/>
  <c r="F11" i="20"/>
  <c r="G10" i="20" l="1"/>
  <c r="J10" i="20" s="1"/>
  <c r="F12" i="20"/>
  <c r="E12" i="20"/>
  <c r="D12" i="20"/>
  <c r="G11" i="20"/>
  <c r="J11" i="20" s="1"/>
  <c r="D13" i="19"/>
  <c r="H11" i="20" l="1"/>
  <c r="K11" i="20" s="1"/>
  <c r="I11" i="20" s="1"/>
  <c r="J12" i="20"/>
  <c r="H10" i="20"/>
  <c r="K10" i="20" s="1"/>
  <c r="G12" i="20"/>
  <c r="K12" i="20" l="1"/>
  <c r="I12" i="20" s="1"/>
  <c r="I10" i="20"/>
  <c r="H12" i="20"/>
</calcChain>
</file>

<file path=xl/comments1.xml><?xml version="1.0" encoding="utf-8"?>
<comments xmlns="http://schemas.openxmlformats.org/spreadsheetml/2006/main">
  <authors>
    <author>Lennox,Alexander (BPA) - FTR-2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Lennox,Alexander (BPA) - FTR-2:</t>
        </r>
        <r>
          <rPr>
            <sz val="9"/>
            <color indexed="81"/>
            <rFont val="Tahoma"/>
            <family val="2"/>
          </rPr>
          <t xml:space="preserve">
Premiums/discounts can appear in the interest and principal summary worksheets of repayment</t>
        </r>
      </text>
    </comment>
  </commentList>
</comments>
</file>

<file path=xl/comments2.xml><?xml version="1.0" encoding="utf-8"?>
<comments xmlns="http://schemas.openxmlformats.org/spreadsheetml/2006/main">
  <authors>
    <author>Alex Lennox</author>
  </authors>
  <commentList>
    <comment ref="A93" authorId="0" shapeId="0">
      <text>
        <r>
          <rPr>
            <b/>
            <sz val="9"/>
            <color indexed="81"/>
            <rFont val="Tahoma"/>
            <family val="2"/>
          </rPr>
          <t>Alex Lennox:</t>
        </r>
        <r>
          <rPr>
            <sz val="9"/>
            <color indexed="81"/>
            <rFont val="Tahoma"/>
            <family val="2"/>
          </rPr>
          <t xml:space="preserve">
TVA revenues for Uranium Tails fuel purchase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</rPr>
          <t>Alex Lennox:</t>
        </r>
        <r>
          <rPr>
            <sz val="9"/>
            <color indexed="81"/>
            <rFont val="Tahoma"/>
            <family val="2"/>
          </rPr>
          <t xml:space="preserve">
Bond premiums embedded in interest payments which will be refinanced as part of RCD 2.  </t>
        </r>
      </text>
    </comment>
    <comment ref="A95" authorId="0" shapeId="0">
      <text>
        <r>
          <rPr>
            <b/>
            <sz val="9"/>
            <color indexed="81"/>
            <rFont val="Tahoma"/>
            <family val="2"/>
          </rPr>
          <t>Alex Lennox:</t>
        </r>
        <r>
          <rPr>
            <sz val="9"/>
            <color indexed="81"/>
            <rFont val="Tahoma"/>
            <family val="2"/>
          </rPr>
          <t xml:space="preserve">
DSR-related bonds and premiums associated with those bonds that will be refinanced as part of RCD 2.  Frees up cash coming from T for these payment which can be used to pay Power bonds. </t>
        </r>
      </text>
    </comment>
    <comment ref="A99" authorId="0" shapeId="0">
      <text>
        <r>
          <rPr>
            <b/>
            <sz val="9"/>
            <color indexed="81"/>
            <rFont val="Tahoma"/>
            <family val="2"/>
          </rPr>
          <t>Alex Lennox:</t>
        </r>
        <r>
          <rPr>
            <sz val="9"/>
            <color indexed="81"/>
            <rFont val="Tahoma"/>
            <family val="2"/>
          </rPr>
          <t xml:space="preserve">
use ungapped amounts for D/A ratio calculation</t>
        </r>
      </text>
    </comment>
  </commentList>
</comments>
</file>

<file path=xl/sharedStrings.xml><?xml version="1.0" encoding="utf-8"?>
<sst xmlns="http://schemas.openxmlformats.org/spreadsheetml/2006/main" count="1680" uniqueCount="775">
  <si>
    <t>Power System Generation Resources</t>
  </si>
  <si>
    <t>Operating Generation</t>
  </si>
  <si>
    <t>Columbia Generating Station (WNP-2)</t>
  </si>
  <si>
    <t>Bureau of Reclamation</t>
  </si>
  <si>
    <t>Corps of Engineers</t>
  </si>
  <si>
    <t>Billing Credits Generation</t>
  </si>
  <si>
    <t>Cowlitz Falls O&amp;M</t>
  </si>
  <si>
    <t>Idaho Falls Bulb Turbine</t>
  </si>
  <si>
    <t>Clearwater Hatchery Generation</t>
  </si>
  <si>
    <t>Operating Generation Settlement Payment</t>
  </si>
  <si>
    <t>Non-Operating Generation</t>
  </si>
  <si>
    <t>Trojan Decomissioning</t>
  </si>
  <si>
    <t>WNP-1&amp;3 Decomissioning</t>
  </si>
  <si>
    <t>Contracted and Augmentation Power Purchases</t>
  </si>
  <si>
    <t>Hedging/Mitigation</t>
  </si>
  <si>
    <t>Bookout Adj to Contracted Power Purchases</t>
  </si>
  <si>
    <t>Exchanges and Settlements</t>
  </si>
  <si>
    <t>Residential Exchange Program Support</t>
  </si>
  <si>
    <t>Renewable and Conservation Generation</t>
  </si>
  <si>
    <t>Generation Conservation R&amp;D</t>
  </si>
  <si>
    <t>Conservation Acquisition</t>
  </si>
  <si>
    <t>Legacy Conservation</t>
  </si>
  <si>
    <t>Market Transformation</t>
  </si>
  <si>
    <t>Transmission Acquisition and Ancillary Services</t>
  </si>
  <si>
    <t>Third Party GTA Wheeling</t>
  </si>
  <si>
    <t>Power Non-Generation Operations</t>
  </si>
  <si>
    <t>PS System Operation</t>
  </si>
  <si>
    <t>Efficiencies Program</t>
  </si>
  <si>
    <t>Information Technology</t>
  </si>
  <si>
    <t>Slice Implementation</t>
  </si>
  <si>
    <t>PS Scheduling</t>
  </si>
  <si>
    <t>Operations Scheduling</t>
  </si>
  <si>
    <t>Operations Planning</t>
  </si>
  <si>
    <t>PS Marketing and Business Support</t>
  </si>
  <si>
    <t>Strategy, Finance &amp; Risk Mgmt</t>
  </si>
  <si>
    <t>Conservation Support</t>
  </si>
  <si>
    <t>Fish and Wildlife/USF&amp;W/Planning Council/Env Req.</t>
  </si>
  <si>
    <t>USF&amp;W Lower Snake Hatcheries</t>
  </si>
  <si>
    <t>Planning Council</t>
  </si>
  <si>
    <t>Environmental Requirements</t>
  </si>
  <si>
    <t>BPA Internal Support</t>
  </si>
  <si>
    <t>Additional Post-Retirement Contribution</t>
  </si>
  <si>
    <t>Bad Debt Expense/Other</t>
  </si>
  <si>
    <t>Bad Debt Expense (composite)</t>
  </si>
  <si>
    <t>Bad Debt Expense (non-slice)</t>
  </si>
  <si>
    <t>Depreciation and Amortization</t>
  </si>
  <si>
    <t>Depreciation</t>
  </si>
  <si>
    <t xml:space="preserve">Depreciation - BPA </t>
  </si>
  <si>
    <t>Depreciation - Corps</t>
  </si>
  <si>
    <t>Depreciation - Bureau</t>
  </si>
  <si>
    <t>Amortization</t>
  </si>
  <si>
    <t>Amortization - Legacy Conservation</t>
  </si>
  <si>
    <t>Amortization - Conservation Acquisitions</t>
  </si>
  <si>
    <t>Interest Expense</t>
  </si>
  <si>
    <t>Net Interest</t>
  </si>
  <si>
    <t>Interest On Appropriated Funds</t>
  </si>
  <si>
    <t>Capitalization Adjustment</t>
  </si>
  <si>
    <t>Interest On Treasury Bonds</t>
  </si>
  <si>
    <t>Interest Earned on BPA Fund for Power (composite)</t>
  </si>
  <si>
    <t>Interest Earned on BPA Fund for Power (non-slice)</t>
  </si>
  <si>
    <t>Net Interest into Cost Pools</t>
  </si>
  <si>
    <t>Net Interest into Cost Pools 7b2</t>
  </si>
  <si>
    <t>Net Revenue</t>
  </si>
  <si>
    <t>Minimum Required Net Revenue</t>
  </si>
  <si>
    <t>Payment of Irrigation Assistance</t>
  </si>
  <si>
    <t>Minimum Net Revenue into Cost Pools</t>
  </si>
  <si>
    <t>Minimum Net Revenue into Cost Pools 7b2</t>
  </si>
  <si>
    <t>Planned Net Revenues for Risk into Cost Pools</t>
  </si>
  <si>
    <t>Planned Net Revenues for Risk into Cost Pools 7b2</t>
  </si>
  <si>
    <t>Revenue Requirement Input Sheet</t>
  </si>
  <si>
    <t>RAM Input</t>
  </si>
  <si>
    <t>Category</t>
  </si>
  <si>
    <t>SubCategory</t>
  </si>
  <si>
    <t>SubSubCategory</t>
  </si>
  <si>
    <t>Year</t>
  </si>
  <si>
    <t>New Resources Integration Wheeling</t>
  </si>
  <si>
    <t>PNCA Headwater Benefits</t>
  </si>
  <si>
    <t>Tier 1 Augmentation Resources (Klondike III)</t>
  </si>
  <si>
    <t>Other Committed Purchase (excl. Hedging)</t>
  </si>
  <si>
    <t>Residential Exchange (IOU)</t>
  </si>
  <si>
    <t>Residential Exchange (COU)</t>
  </si>
  <si>
    <t>Residential Exchange (Refund)</t>
  </si>
  <si>
    <t>Renewables R&amp;D</t>
  </si>
  <si>
    <t>Renewable Generation</t>
  </si>
  <si>
    <t>Low Income Energy Efficiency</t>
  </si>
  <si>
    <t>Reimbursable Energy Efficiency Development</t>
  </si>
  <si>
    <t>Trans &amp; Ancillary Svcs</t>
  </si>
  <si>
    <t>Trans &amp; Ancillary Svcs (sys oblig)</t>
  </si>
  <si>
    <t xml:space="preserve">Power 3rd Party Trans &amp; Ancillary Svcs </t>
  </si>
  <si>
    <t>Trans Acq Generation Integration</t>
  </si>
  <si>
    <t xml:space="preserve">Power Telemetering/Equipment Replacement </t>
  </si>
  <si>
    <t xml:space="preserve">Generation Project Coordination  </t>
  </si>
  <si>
    <t xml:space="preserve">Slice costs Charged to Slice Customers </t>
  </si>
  <si>
    <t xml:space="preserve">Sales and Support </t>
  </si>
  <si>
    <t>Executive and Administrative Svcs</t>
  </si>
  <si>
    <t xml:space="preserve">Fish and Wildlife </t>
  </si>
  <si>
    <t>Agency Svs for Power for Rev Req schedule</t>
  </si>
  <si>
    <t>Agency Svs for Energy Efficiency for Rev Req schedule</t>
  </si>
  <si>
    <t>Amortization - CRFM</t>
  </si>
  <si>
    <t>Power Net Interest - Hydro Allocation</t>
  </si>
  <si>
    <t>Power Net Interest - Fish &amp; Wildlife Allocation</t>
  </si>
  <si>
    <t>Power Net Interest - Conservation Allocation</t>
  </si>
  <si>
    <t>Power Net Interest - BPA Programs Allocation</t>
  </si>
  <si>
    <t>Power Net Interest Hydro 7b2 Allocation</t>
  </si>
  <si>
    <t>Power Net Interest Fish &amp; Wildlife 7b2 Allocation</t>
  </si>
  <si>
    <t>Power Net Interest BPA Programs 7b2 Allocation</t>
  </si>
  <si>
    <t>Repayment of Treasury Borrowings</t>
  </si>
  <si>
    <t>Depreciation (MRNR - Reverse sign)</t>
  </si>
  <si>
    <t>Amortization (MRNR - Reverse sign)</t>
  </si>
  <si>
    <t>Capitalization Adjustment (MRNR - Reverse Sign)</t>
  </si>
  <si>
    <t>Capitalized Bond Premium (Reverse Sign)</t>
  </si>
  <si>
    <t>Repayment of Federal Appropriations</t>
  </si>
  <si>
    <t>Accrual Revenues (MRNR Adjustment - Reverse Sign)</t>
  </si>
  <si>
    <t>Revenue Financing Requirement</t>
  </si>
  <si>
    <t>Depreciation Exceeds Cash Expense</t>
  </si>
  <si>
    <t>Power MNetRev - Hydro 7b2 Allocation</t>
  </si>
  <si>
    <t>Power MNetRev - Fish &amp; Wildlife 7b2 Allocation</t>
  </si>
  <si>
    <t>Power MNetRev - PBA Programs 7b2 Allocation</t>
  </si>
  <si>
    <t>AFUDC</t>
  </si>
  <si>
    <t>Power MNetRev - Hydro Allocation</t>
  </si>
  <si>
    <t>Power MNetRev - Fish &amp; Wildlife Allocation</t>
  </si>
  <si>
    <t>Power MNetRev - Conservation Allocation</t>
  </si>
  <si>
    <t>Power MNetRev - BPA Programs Allocation</t>
  </si>
  <si>
    <t>Power PNetRev - Hydro Allocation</t>
  </si>
  <si>
    <t>Power PNetRev - Fish &amp; Wildlife Allocation</t>
  </si>
  <si>
    <t>Power PNetRev - Conservation Allocation</t>
  </si>
  <si>
    <t>Power PNetRev - BPA Programs Allocation</t>
  </si>
  <si>
    <t>Power PNetRev - Hydro 7b2 Allocation</t>
  </si>
  <si>
    <t>Power PNetRev - Fish &amp; Wildlife 7b2 Allocation</t>
  </si>
  <si>
    <t>Power PNetRev - BPA Programs 7b2 Allocation</t>
  </si>
  <si>
    <t>Residential Exchange Interest Accrual</t>
  </si>
  <si>
    <t>PNCA HEADWATER BENEFITS</t>
  </si>
  <si>
    <t>AUGMENTATION POWER PURCHASES</t>
  </si>
  <si>
    <t>RENEWABLES</t>
  </si>
  <si>
    <t>CONSERVATION ACQUISITION</t>
  </si>
  <si>
    <t>LEGACY</t>
  </si>
  <si>
    <t>MARKET TRANSFORMATION</t>
  </si>
  <si>
    <t>INFORMATION TECHNOLOGY</t>
  </si>
  <si>
    <t>SLICE IMPLEMENTATION</t>
  </si>
  <si>
    <t>OPERATIONS PLANNING</t>
  </si>
  <si>
    <t>POWER R&amp;D</t>
  </si>
  <si>
    <t>SALES &amp; SUPPORT</t>
  </si>
  <si>
    <t>CONSERVATION SUPPORT</t>
  </si>
  <si>
    <t>3RD PARTY GTA WHEELING</t>
  </si>
  <si>
    <t>Interest Income</t>
  </si>
  <si>
    <t xml:space="preserve">R&amp;D </t>
  </si>
  <si>
    <t>Net Amt</t>
  </si>
  <si>
    <t>EXECUTIVE &amp; ADMINISTRATIVE SVC</t>
  </si>
  <si>
    <t>STRATEGY, FINANCE &amp; RISK MGMT</t>
  </si>
  <si>
    <t>RES EXCH &amp; IOU SETTLEMENTS</t>
  </si>
  <si>
    <t>Total</t>
  </si>
  <si>
    <t>IDAHO FALLS BULB TURBINE</t>
  </si>
  <si>
    <t>COWLITZ FALLS O&amp;M</t>
  </si>
  <si>
    <t>BILLING CREDITS GENERATION</t>
  </si>
  <si>
    <t>WAUNA</t>
  </si>
  <si>
    <t>NEW RESOURCS INTEGRTN WHEELING</t>
  </si>
  <si>
    <t>CLEARWATER HATCHERY GENERATION</t>
  </si>
  <si>
    <t>Allocation of Interest Earned on the Bonneville Fund</t>
  </si>
  <si>
    <t>($ in thousands)</t>
  </si>
  <si>
    <t>A</t>
  </si>
  <si>
    <t>B</t>
  </si>
  <si>
    <t>C</t>
  </si>
  <si>
    <t>D</t>
  </si>
  <si>
    <t>E</t>
  </si>
  <si>
    <t>F</t>
  </si>
  <si>
    <t>Interest rate</t>
  </si>
  <si>
    <t>Total interest credit from Rev Req</t>
  </si>
  <si>
    <t>OPERATING EXPENSES</t>
  </si>
  <si>
    <t>POWER SYSTEM GENERATION RESOURCES</t>
  </si>
  <si>
    <t>OPERATING GENERATION RESOURCES</t>
  </si>
  <si>
    <t>OPERATING GENERATION SETTLEMENT PAYMENTS</t>
  </si>
  <si>
    <t>NON-OPERATING GENERATION</t>
  </si>
  <si>
    <t>CONTRACTED POWER PURCHASES</t>
  </si>
  <si>
    <t>EXCHANGES &amp; SETTLEMENTS</t>
  </si>
  <si>
    <t>RENEWABLE GENERATION</t>
  </si>
  <si>
    <t>GENERATION CONSERVATION</t>
  </si>
  <si>
    <t>POWER NON-GENERATION OPERATIONS</t>
  </si>
  <si>
    <t>PS TRANSMISSION ACQUISITION AND ANCILLARY SERVICES</t>
  </si>
  <si>
    <t>GENERAL AND ADMINISTRATIVE/SHARED SERVICES</t>
  </si>
  <si>
    <t>OTHER INCOME, EXPENSES AND ADJUSTMENTS</t>
  </si>
  <si>
    <t>Irrigation Assistance</t>
  </si>
  <si>
    <t>INTEREST</t>
  </si>
  <si>
    <t>APPROPRIATED FUNDS</t>
  </si>
  <si>
    <t>CAPITALIZATION ADJUSTMENT</t>
  </si>
  <si>
    <t>BONDS ISSUED TO U.S. TREASURY</t>
  </si>
  <si>
    <t>ALLOWANCE FOR FUNDS USED DURING CONSTRUCTION</t>
  </si>
  <si>
    <t xml:space="preserve">INTEREST CREDIT ON CASH RESERVES </t>
  </si>
  <si>
    <t>TOTAL EXPENSES</t>
  </si>
  <si>
    <t>MINIMUM REQUIRED NET REVENUE 1/</t>
  </si>
  <si>
    <t>PLANNED NET REVENUE FOR RISK</t>
  </si>
  <si>
    <t>DEPRECIATION</t>
  </si>
  <si>
    <t>AMORTIZATION</t>
  </si>
  <si>
    <t>TOTAL OPERATING EXPENSES</t>
  </si>
  <si>
    <t>Cash flow generated</t>
  </si>
  <si>
    <t>repayment study interest credit</t>
  </si>
  <si>
    <t>Fiscal Year</t>
  </si>
  <si>
    <t>WNP-1</t>
  </si>
  <si>
    <t>CGS</t>
  </si>
  <si>
    <t>Wasco</t>
  </si>
  <si>
    <t>Cowlitz</t>
  </si>
  <si>
    <t>WNP-3</t>
  </si>
  <si>
    <t>Non Federal Interest (prepay)</t>
  </si>
  <si>
    <t>Prepay  Credits (MRNR Adjustment - Reverse Sign)</t>
  </si>
  <si>
    <t>Non Federal Interest (prepay))MRNR-reverse sign)</t>
  </si>
  <si>
    <t>SOY Cash Balance</t>
  </si>
  <si>
    <t>EOY Cash Balance 1/</t>
  </si>
  <si>
    <t>Average Cash Balance</t>
  </si>
  <si>
    <t>LONG-TERM CONTRACT GEN PROJ Total</t>
  </si>
  <si>
    <t>TROJAN O&amp;M</t>
  </si>
  <si>
    <t>WNP-1,3&amp;4 O&amp;M</t>
  </si>
  <si>
    <t>NON-OPERATING GENERATION Total</t>
  </si>
  <si>
    <t>OTHER POWER PURCH(SHORT TERM)</t>
  </si>
  <si>
    <t>TIER 2 PWR PURCHASES-FY12RATES</t>
  </si>
  <si>
    <t>CONTRACT &amp; AUGMENT POWER PURCH Total</t>
  </si>
  <si>
    <t>ENERGY EFFICIENCY DEVELOPMENT</t>
  </si>
  <si>
    <t>LOW INCOME WEATHRZTN &amp; TRIBAL</t>
  </si>
  <si>
    <t>GENERATION CONSERVATION Total</t>
  </si>
  <si>
    <t>GENERATION INTEGRATION</t>
  </si>
  <si>
    <t>PBL- TRANS &amp; ANCILLARY SVCS</t>
  </si>
  <si>
    <t>3RD PARTY TRANS &amp; ANCILLRY SVC</t>
  </si>
  <si>
    <t>PBL TRANSMISSION ACQUISITION Total</t>
  </si>
  <si>
    <t>GENERATION PROJ COORDINATION</t>
  </si>
  <si>
    <t>OPERATIONS (SCHEDULING)</t>
  </si>
  <si>
    <t>NON-GENERATION OPERATIONS Total</t>
  </si>
  <si>
    <t>LOWER SNAKE HATCHERIES</t>
  </si>
  <si>
    <t>PLANNING COUNCIL</t>
  </si>
  <si>
    <t>FISH &amp; WILDLIFE</t>
  </si>
  <si>
    <t>FISH&amp;WILDLIFE&amp;PLANNING COUNCIL Total</t>
  </si>
  <si>
    <t>Interest</t>
  </si>
  <si>
    <t>GENERATION REVENUE REQUIREMENT</t>
  </si>
  <si>
    <t>INCOME STATEMENT</t>
  </si>
  <si>
    <t>TOTAL REVENUE REQUIREMENT</t>
  </si>
  <si>
    <t>1/</t>
  </si>
  <si>
    <t>STATEMENT OF CASH FLOWS</t>
  </si>
  <si>
    <t>CASH FROM OPERATING ACTIVITIES</t>
  </si>
  <si>
    <t>NON-CASH ITEMS:</t>
  </si>
  <si>
    <t>DEPRECIATION AND AMORTIZATION</t>
  </si>
  <si>
    <t>CASH PROVIDED BY OPERATING ACTIVITIES</t>
  </si>
  <si>
    <t>INVESTMENT IN:</t>
  </si>
  <si>
    <t>UTILITY PLANT (INCLUDING AFUDC)</t>
  </si>
  <si>
    <t>CASH FROM BORROWING AND APPROPRIATIONS:</t>
  </si>
  <si>
    <t>INCREASE IN BONDS ISSUED TO U.S. TREASURY</t>
  </si>
  <si>
    <t>REPAYMENT OF BONDS ISSUED TO U.S. TREASURY</t>
  </si>
  <si>
    <t>INCREASE IN FEDERAL CONSTRUCTION APPROPRIATIONS</t>
  </si>
  <si>
    <t>REPAYMENT OF FEDERAL CONSTRUCTION APPROPRIATIONS</t>
  </si>
  <si>
    <t>PAYMENT OF IRRIGATION ASSISTANCE</t>
  </si>
  <si>
    <t>CASH PROVIDED BY BORROWING AND APPROPRIATIONS</t>
  </si>
  <si>
    <t>ANNUAL INCREASE (DECREASE) IN CASH</t>
  </si>
  <si>
    <t>TOTAL ANNUAL INCREASE (DECREASE) IN CASH</t>
  </si>
  <si>
    <t>($000s)</t>
  </si>
  <si>
    <t>NON-FEDERAL INTEREST</t>
  </si>
  <si>
    <t>EQUIVALENT ANNUAL COSTS</t>
  </si>
  <si>
    <t>G</t>
  </si>
  <si>
    <t>H</t>
  </si>
  <si>
    <t>I</t>
  </si>
  <si>
    <t>J</t>
  </si>
  <si>
    <t>K</t>
  </si>
  <si>
    <t>L</t>
  </si>
  <si>
    <t>COMP</t>
  </si>
  <si>
    <t>WT AV</t>
  </si>
  <si>
    <t>AVG</t>
  </si>
  <si>
    <t>PLANT</t>
  </si>
  <si>
    <t>INT</t>
  </si>
  <si>
    <t>EQ ANN</t>
  </si>
  <si>
    <t>LIFE</t>
  </si>
  <si>
    <t>RATE</t>
  </si>
  <si>
    <t>COSTS</t>
  </si>
  <si>
    <t>Corps of Engineers/Bureau of Reclamation</t>
  </si>
  <si>
    <t>BPA F&amp;W</t>
  </si>
  <si>
    <t>PBL General Plant</t>
  </si>
  <si>
    <t>Energy Efficiency</t>
  </si>
  <si>
    <t>PBL</t>
  </si>
  <si>
    <t xml:space="preserve">  OFFICE FURNITURE &amp; FIXTURES</t>
  </si>
  <si>
    <t xml:space="preserve">  DATA PROCESSING EQUIPMENT</t>
  </si>
  <si>
    <t xml:space="preserve">  DATA PROCESSING SOFTWARE</t>
  </si>
  <si>
    <t>TOTAL GENERAL PLANT - PBL</t>
  </si>
  <si>
    <t>CONSERVATION</t>
  </si>
  <si>
    <t xml:space="preserve">   LEGACY</t>
  </si>
  <si>
    <t xml:space="preserve">   CONAUG</t>
  </si>
  <si>
    <t xml:space="preserve">   CONSERVATION ACQUISITION</t>
  </si>
  <si>
    <t>TOTAL CONSERVATION</t>
  </si>
  <si>
    <t>Generation Revenue Requirements by Resource Pool</t>
  </si>
  <si>
    <t>PROGRAM CASE</t>
  </si>
  <si>
    <t>FY:</t>
  </si>
  <si>
    <t>INVEST</t>
  </si>
  <si>
    <t>NET</t>
  </si>
  <si>
    <t>OPER</t>
  </si>
  <si>
    <t>TOTAL</t>
  </si>
  <si>
    <t>BASE</t>
  </si>
  <si>
    <t>REVS</t>
  </si>
  <si>
    <t>EXP</t>
  </si>
  <si>
    <t>(B+C+D)</t>
  </si>
  <si>
    <t xml:space="preserve"> 1. GENERATION COSTS</t>
  </si>
  <si>
    <t xml:space="preserve"> 2.  FEDERAL BASE SYSTEM</t>
  </si>
  <si>
    <t>Hydro</t>
  </si>
  <si>
    <t>All Other</t>
  </si>
  <si>
    <t>Generation</t>
  </si>
  <si>
    <t xml:space="preserve"> 3.    HYDRO</t>
  </si>
  <si>
    <t>Equivalent Annual Costs</t>
  </si>
  <si>
    <t xml:space="preserve"> 4.    FISH AND WILDLIFE</t>
  </si>
  <si>
    <t>Percent</t>
  </si>
  <si>
    <t xml:space="preserve"> 5.    TROJAN</t>
  </si>
  <si>
    <t xml:space="preserve"> 6.    WNP #1</t>
  </si>
  <si>
    <t>Net Interest Expense</t>
  </si>
  <si>
    <t xml:space="preserve"> 7.    CGS</t>
  </si>
  <si>
    <t xml:space="preserve"> 8.    WNP #3</t>
  </si>
  <si>
    <t>Planned Net Revenues</t>
  </si>
  <si>
    <t xml:space="preserve"> 9.    SYSTEM AUGMENTATION</t>
  </si>
  <si>
    <t>10.   BALANCING POWER PURCHASES</t>
  </si>
  <si>
    <t>11. TOTAL FEDERAL BASE SYSTEM</t>
  </si>
  <si>
    <t>12.  NEW RESOURCES</t>
  </si>
  <si>
    <t>13.    IDAHO FALLS</t>
  </si>
  <si>
    <t>14.    COWLITZ FALLS</t>
  </si>
  <si>
    <t>15.    OTHER LONG-TERM POWER PURCHASES</t>
  </si>
  <si>
    <t>16.  TOTAL NEW RESOURCES</t>
  </si>
  <si>
    <t xml:space="preserve">17.  RESIDENTIAL EXCHANGE </t>
  </si>
  <si>
    <t>18.  CONSERVATION</t>
  </si>
  <si>
    <t>19.  OTHER GENERATION COSTS</t>
  </si>
  <si>
    <t>20.    BPA PROGRAMS</t>
  </si>
  <si>
    <t>21.    WNP #3 PLANT</t>
  </si>
  <si>
    <t>22.  TOTAL OTHER GENERATION COSTS</t>
  </si>
  <si>
    <t>23. TOTAL GENERATION COSTS</t>
  </si>
  <si>
    <t>24. TRANSMISSION COSTS</t>
  </si>
  <si>
    <t>25.    TBL TRANSMISSION/ANCILLARY SERVICES</t>
  </si>
  <si>
    <t>26.    3RD PARTY TRANS/ANCILLARY SERVICES</t>
  </si>
  <si>
    <t>27.    GENERAL TRANSFER AGREEMENTS</t>
  </si>
  <si>
    <t>28. TOTAL TRANSMISSION COSTS</t>
  </si>
  <si>
    <t>29. TOTAL PBL REVENUE REQUIREMENT</t>
  </si>
  <si>
    <t>FUNCTIONALIZATION OF COE and USBR O&amp;M</t>
  </si>
  <si>
    <t>Average</t>
  </si>
  <si>
    <t>Investment</t>
  </si>
  <si>
    <t>O&amp;M</t>
  </si>
  <si>
    <t>BOISE</t>
  </si>
  <si>
    <t>GENERATION</t>
  </si>
  <si>
    <t>COLUMBIA BASIN</t>
  </si>
  <si>
    <t>TRANSMISSION</t>
  </si>
  <si>
    <t>GREEN SPRINGS</t>
  </si>
  <si>
    <t>HUNGRY HORSE</t>
  </si>
  <si>
    <t>MINIDOKA-PALISADES</t>
  </si>
  <si>
    <t>YAKIMA</t>
  </si>
  <si>
    <t>GENERATION 1/</t>
  </si>
  <si>
    <t>TOTAL USBR</t>
  </si>
  <si>
    <t>INCLUDES COLVILLE PAYMENT OF</t>
  </si>
  <si>
    <t>BONNEVILLE</t>
  </si>
  <si>
    <t>OTHER PROJECTS</t>
  </si>
  <si>
    <t>CORPS - GENERATION ONLY</t>
  </si>
  <si>
    <t>USF&amp;W (LSRCP)</t>
  </si>
  <si>
    <t>TOTAL CORPS</t>
  </si>
  <si>
    <t>INPUT:</t>
  </si>
  <si>
    <t>TOTAL CORPS O&amp;M (w/out LSRCP)</t>
  </si>
  <si>
    <t>Columbia River Fish Bypass O&amp;M</t>
  </si>
  <si>
    <t>US F&amp;W</t>
  </si>
  <si>
    <t>2/</t>
  </si>
  <si>
    <t>($thousands)</t>
  </si>
  <si>
    <t>John Day</t>
  </si>
  <si>
    <t>The Dalles</t>
  </si>
  <si>
    <t>Determination of Synchronous Condensor Annual Costs</t>
  </si>
  <si>
    <t>Synchronous Condensers</t>
  </si>
  <si>
    <t>Net Plant Calculation</t>
  </si>
  <si>
    <t>Synchronous Condensers Avg Net Plant</t>
  </si>
  <si>
    <t>plant-</t>
  </si>
  <si>
    <t>Total Corps/Bureau Average Net Plant</t>
  </si>
  <si>
    <t>in-service</t>
  </si>
  <si>
    <t>Annual</t>
  </si>
  <si>
    <t>Accumulated Depreciation</t>
  </si>
  <si>
    <t>percent</t>
  </si>
  <si>
    <t>Life</t>
  </si>
  <si>
    <t>Project</t>
  </si>
  <si>
    <t>Deprec</t>
  </si>
  <si>
    <t>Corps/Bureau Net Interest</t>
  </si>
  <si>
    <t>Sync Cond Net Interest</t>
  </si>
  <si>
    <t>Corps/Bureau MRNR</t>
  </si>
  <si>
    <t>Sync Cond MRNR</t>
  </si>
  <si>
    <t>Sync Cond Depreciation</t>
  </si>
  <si>
    <t>net plant investment</t>
  </si>
  <si>
    <t>Total Sync Cond Costs</t>
  </si>
  <si>
    <t>Utility</t>
  </si>
  <si>
    <t>Network</t>
  </si>
  <si>
    <t>Delivery</t>
  </si>
  <si>
    <t>MRNR</t>
  </si>
  <si>
    <t>Total COE/BOR Trans Costs</t>
  </si>
  <si>
    <t>Average Net Transmission Plant</t>
  </si>
  <si>
    <t>Total Hydro Projects Average Net Plant</t>
  </si>
  <si>
    <t>percent Transmission</t>
  </si>
  <si>
    <t>Revenue Requirement MRNR</t>
  </si>
  <si>
    <t>Revenue Requirement Total PNR</t>
  </si>
  <si>
    <t>percent MRNR</t>
  </si>
  <si>
    <t>Revenue Requirement PNRR</t>
  </si>
  <si>
    <t>percent PNRR</t>
  </si>
  <si>
    <t>GROSS</t>
  </si>
  <si>
    <t>DEPREC</t>
  </si>
  <si>
    <t>AVG NET</t>
  </si>
  <si>
    <t>TOTAL TRANSMISSION</t>
  </si>
  <si>
    <t>Fish &amp; Wildlife</t>
  </si>
  <si>
    <t>GENERATION REVISED REVENUE TEST</t>
  </si>
  <si>
    <t>REVENUES FROM PROPOSED RATES</t>
  </si>
  <si>
    <t>OPERATING GENERATION</t>
  </si>
  <si>
    <t>OPERATING GENERATION SETTLEMENTS</t>
  </si>
  <si>
    <t>F&amp;W/USF&amp;W/PLANNING COUNCIL</t>
  </si>
  <si>
    <t>BPA INTERNAL SUPPORT</t>
  </si>
  <si>
    <t>NET REVENUES</t>
  </si>
  <si>
    <t>NET REVENUES for Interest Income Calculation</t>
  </si>
  <si>
    <t>NON-CASH REVENUES</t>
  </si>
  <si>
    <t>CASH FLOW ADJUSTMENT (RESERVE)/APPLICATION</t>
  </si>
  <si>
    <t>CASH USED FOR INVESTMENT ACTIVITIES</t>
  </si>
  <si>
    <t>FEDERAL UTILITY PLANT (INCLUDING AFUDC)</t>
  </si>
  <si>
    <t>CASH FROM (AND USED FOR) FINANCING ACTIVITIES</t>
  </si>
  <si>
    <t>INCREASE IN TREASURY DEBT</t>
  </si>
  <si>
    <t>CUSTOMER PROCEEDS</t>
  </si>
  <si>
    <t>REPAYMENT OF TREASURY DEBT</t>
  </si>
  <si>
    <t>CASH USED FOR FINANCING ACTIVITIES</t>
  </si>
  <si>
    <t>Change in Cash for Interest Income Calculation</t>
  </si>
  <si>
    <t>GENERATION CURRENT REVENUE TEST</t>
  </si>
  <si>
    <t>REVENUES FROM CURRENT RATES</t>
  </si>
  <si>
    <t>Renewables Portion</t>
  </si>
  <si>
    <t>Conservation Portion</t>
  </si>
  <si>
    <t>Interest Income from Projected Cash Balances</t>
  </si>
  <si>
    <t>Generation Revised Revenue Test</t>
  </si>
  <si>
    <t>Repayment</t>
  </si>
  <si>
    <t>Period</t>
  </si>
  <si>
    <t>Annual Cash Surplus/(Deficit)</t>
  </si>
  <si>
    <t>SOY Cash Balance 1/</t>
  </si>
  <si>
    <t>EOY Cash Balance</t>
  </si>
  <si>
    <t>Interest Income Rate</t>
  </si>
  <si>
    <t>Interest on BPA Fund/Investments</t>
  </si>
  <si>
    <t>Repayment Study Interest Income</t>
  </si>
  <si>
    <t>Annual Interest Income</t>
  </si>
  <si>
    <t>credit for end of prior year</t>
  </si>
  <si>
    <t>in-year cash flow (rep study)</t>
  </si>
  <si>
    <t>total credit for first interation</t>
  </si>
  <si>
    <t>Prepayment Program Proceeds</t>
  </si>
  <si>
    <t>Generation Current Revenue Test</t>
  </si>
  <si>
    <t>Transmission Acquisition</t>
  </si>
  <si>
    <t>Secondary Market Power Purchases</t>
  </si>
  <si>
    <t>Augmentation Purchases</t>
  </si>
  <si>
    <t>Revenues at Proposed Rates</t>
  </si>
  <si>
    <t>Revenues at Current Rates</t>
  </si>
  <si>
    <t>Bonds</t>
  </si>
  <si>
    <t>Appropriations</t>
  </si>
  <si>
    <t>EE 3rd Party</t>
  </si>
  <si>
    <t>Principal</t>
  </si>
  <si>
    <t>Interest Credit</t>
  </si>
  <si>
    <t>Capitalized Bond Premiums</t>
  </si>
  <si>
    <t>Capitalized Bond Discounts</t>
  </si>
  <si>
    <t>Allocation of Total O&amp;M to Projects for COE and USBR based on actual data</t>
  </si>
  <si>
    <t>AVERAGE</t>
  </si>
  <si>
    <t xml:space="preserve">MINIDOKA </t>
  </si>
  <si>
    <t>Total USBR</t>
  </si>
  <si>
    <t>check</t>
  </si>
  <si>
    <t>ALBENI FALLS</t>
  </si>
  <si>
    <t>CHIEF JOSEPH</t>
  </si>
  <si>
    <t>COUGAR</t>
  </si>
  <si>
    <t>DETROIT</t>
  </si>
  <si>
    <t>DWORSHAK</t>
  </si>
  <si>
    <t>GREEN-PETER</t>
  </si>
  <si>
    <t>HILLS CREEK</t>
  </si>
  <si>
    <t>ICE HARBOR</t>
  </si>
  <si>
    <t>JOHN DAY</t>
  </si>
  <si>
    <t>LIBBY</t>
  </si>
  <si>
    <t>LITTLE GOOSE</t>
  </si>
  <si>
    <t>LOOKOUT POINT</t>
  </si>
  <si>
    <t>LOST CREEK</t>
  </si>
  <si>
    <t>LOWER GRANITE</t>
  </si>
  <si>
    <t>LOWER MONUMENTAL</t>
  </si>
  <si>
    <t>MCNARY</t>
  </si>
  <si>
    <t>THE DALLES</t>
  </si>
  <si>
    <t>Total COE</t>
  </si>
  <si>
    <t>Subsequent years are from BPA's Integrated Program Review</t>
  </si>
  <si>
    <t>Prepay Credit</t>
  </si>
  <si>
    <t>Program/Project</t>
  </si>
  <si>
    <t>COLUMBIA GEN STATION L2</t>
  </si>
  <si>
    <t>BUREAU OF RECLAMATION L2</t>
  </si>
  <si>
    <t>CORPS OF ENGINEERS L2</t>
  </si>
  <si>
    <t>OPERATING GEN SETTLEMENT</t>
  </si>
  <si>
    <t>DR &amp; SMART GRID</t>
  </si>
  <si>
    <t>POST-RETIREMENT BENEFITS</t>
  </si>
  <si>
    <t>AGENCY SERVICES G&amp;A</t>
  </si>
  <si>
    <t>Energy Efficiency Percentage of Total Power Staffing</t>
  </si>
  <si>
    <t>IPR1521</t>
  </si>
  <si>
    <t>PERSONNEL COMP &amp; BENEFITS</t>
  </si>
  <si>
    <t>2P</t>
  </si>
  <si>
    <t>2PB</t>
  </si>
  <si>
    <t>2PE</t>
  </si>
  <si>
    <t>2PG</t>
  </si>
  <si>
    <t>2PS</t>
  </si>
  <si>
    <t>2PT</t>
  </si>
  <si>
    <t>Percentage of Total Power Staffing</t>
  </si>
  <si>
    <t>BPA Programs</t>
  </si>
  <si>
    <t>*</t>
  </si>
  <si>
    <t>Total Interest Credit (ln 8 + 10 + 17)</t>
  </si>
  <si>
    <t>TVA Rev Offset</t>
  </si>
  <si>
    <t>CGS Total</t>
  </si>
  <si>
    <t>CGS Expenses</t>
  </si>
  <si>
    <t>CGS Adjustments</t>
  </si>
  <si>
    <t>DR &amp; Smart Grid</t>
  </si>
  <si>
    <t>PGE WNP3 Settlement</t>
  </si>
  <si>
    <t>Prepay Offset Credit</t>
  </si>
  <si>
    <t>CASH FROM INVESTMENT ACTIVITIES</t>
  </si>
  <si>
    <t>Source from Repayment study Interest Calculation pg, use rates for historical investement for relevant years.</t>
  </si>
  <si>
    <t>($000)</t>
  </si>
  <si>
    <t>PURCHASE</t>
  </si>
  <si>
    <t>AND</t>
  </si>
  <si>
    <t>FUNDS</t>
  </si>
  <si>
    <t>YEAR</t>
  </si>
  <si>
    <t>OPERATION &amp;</t>
  </si>
  <si>
    <t>EXCHANGE</t>
  </si>
  <si>
    <t>NONCASH</t>
  </si>
  <si>
    <t>FROM</t>
  </si>
  <si>
    <t>IRRIGATION</t>
  </si>
  <si>
    <t>COMBINED</t>
  </si>
  <si>
    <t>REVENUES</t>
  </si>
  <si>
    <t>MAINTENANCE</t>
  </si>
  <si>
    <t>POWER</t>
  </si>
  <si>
    <t>EXPENSES 1/</t>
  </si>
  <si>
    <t>(REV REQ STUDY</t>
  </si>
  <si>
    <t>POSITION</t>
  </si>
  <si>
    <t>CUMULATIVE</t>
  </si>
  <si>
    <t>(STATEMENT A)</t>
  </si>
  <si>
    <t>(STATEMENT E)</t>
  </si>
  <si>
    <t>(STATEMENT D)</t>
  </si>
  <si>
    <t>(F=A-B-C-D-E)</t>
  </si>
  <si>
    <t>(COLUMN D)</t>
  </si>
  <si>
    <t>(H=F+G)</t>
  </si>
  <si>
    <t>DOCUMENTATION)</t>
  </si>
  <si>
    <t>(STATEMENT C)</t>
  </si>
  <si>
    <t>(K=H-I-J)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</si>
  <si>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</si>
  <si>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</si>
  <si>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</si>
  <si>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</si>
  <si>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</si>
  <si>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</si>
  <si>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</si>
  <si>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</si>
  <si>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</si>
  <si>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</si>
  <si>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</si>
  <si>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</si>
  <si>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</si>
  <si>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</si>
  <si>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</si>
  <si>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</si>
  <si>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</si>
  <si>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COST EVALUATION</t>
  </si>
  <si>
    <t>PERIOD</t>
  </si>
  <si>
    <t>RATE APPROVAL</t>
  </si>
  <si>
    <t>REPAYMENT</t>
  </si>
  <si>
    <t>TOTALS</t>
  </si>
  <si>
    <t>Non Fed (Prepay)</t>
  </si>
  <si>
    <t>Ave</t>
  </si>
  <si>
    <t>Expense</t>
  </si>
  <si>
    <t>Hedging &amp; Mitigation</t>
  </si>
  <si>
    <t>Transmission Acquisition (sys oblig)</t>
  </si>
  <si>
    <t>Klondike III (Tier 1 augmentation)</t>
  </si>
  <si>
    <t>Tier 2</t>
  </si>
  <si>
    <t>Projected Revenues from Proposed Rates</t>
  </si>
  <si>
    <t>Projected Expenses</t>
  </si>
  <si>
    <t>Net Revenues</t>
  </si>
  <si>
    <t>Reserves for Risk</t>
  </si>
  <si>
    <t>Adjustments</t>
  </si>
  <si>
    <t>Minimum required net revenues are added to ensure suffcient cash flow is available</t>
  </si>
  <si>
    <t>to repay the federal investment.</t>
  </si>
  <si>
    <t>NON-CASH EXPENSES</t>
  </si>
  <si>
    <t>REPAYMENT OF NON-FEDERAL OBLIGATIONS</t>
  </si>
  <si>
    <t>Non-Cash Expenses</t>
  </si>
  <si>
    <t>Customer Proceeds</t>
  </si>
  <si>
    <t>CONSERVATION INFRASTRUCTURE</t>
  </si>
  <si>
    <t>ENERGY EFFICIENCY INITIATIVE</t>
  </si>
  <si>
    <t>BPA Managed EE</t>
  </si>
  <si>
    <t>CORPORATE G&amp;A</t>
  </si>
  <si>
    <t>F&amp;W CORPORATE SUPPORT - G&amp;A</t>
  </si>
  <si>
    <t>Other Income &amp; Adjustment</t>
  </si>
  <si>
    <t>Amortization - Fish &amp; Wildlife</t>
  </si>
  <si>
    <t>Power R&amp;D</t>
  </si>
  <si>
    <t>all other Power R&amp;D</t>
  </si>
  <si>
    <t>Reserves not for Risk</t>
  </si>
  <si>
    <t>Generation Integration</t>
  </si>
  <si>
    <t>Residential Exchange net of PSE costs</t>
  </si>
  <si>
    <t>Res Ex</t>
  </si>
  <si>
    <t>Staffing costs</t>
  </si>
  <si>
    <t xml:space="preserve">FROM </t>
  </si>
  <si>
    <t>See note on Statement of Cash Flows</t>
  </si>
  <si>
    <t>PNRR</t>
  </si>
  <si>
    <t>Allocation factor for MRNR &amp; PNRR</t>
  </si>
  <si>
    <t>Repayment Study =</t>
  </si>
  <si>
    <t>CGS (incl fuel)</t>
  </si>
  <si>
    <t>Federal Projects Depreciation Summary</t>
  </si>
  <si>
    <t>BPA (PBL + CORP GP)</t>
  </si>
  <si>
    <t>Corps  1/ 2/</t>
  </si>
  <si>
    <t>Bureau</t>
  </si>
  <si>
    <t xml:space="preserve">   Total Depreciation </t>
  </si>
  <si>
    <t>Amortization of Legacy Conservation</t>
  </si>
  <si>
    <t>Amortization of Conservation Acquisitions (5yr)</t>
  </si>
  <si>
    <t>Amortization of Conservation Acquisitions (12yr)</t>
  </si>
  <si>
    <t>Amortization of CRFM Intangible Investment</t>
  </si>
  <si>
    <t>Amortization of Fish &amp; Wildlife</t>
  </si>
  <si>
    <t xml:space="preserve">   Total Amortization</t>
  </si>
  <si>
    <t>Total Federal Projects Depreciation</t>
  </si>
  <si>
    <t>Excludes depreciation from investments</t>
  </si>
  <si>
    <t>paid for by BPA-TS</t>
  </si>
  <si>
    <t xml:space="preserve">Includes US Fish &amp; Wildlife </t>
  </si>
  <si>
    <t>SHIFT STUDY IF NEEDED</t>
  </si>
  <si>
    <t>BASE STUDY -- LONG TERM</t>
  </si>
  <si>
    <t>BASE STUDY -- Rate Period</t>
  </si>
  <si>
    <t>Calculated</t>
  </si>
  <si>
    <t>Deprec-</t>
  </si>
  <si>
    <t>Amort</t>
  </si>
  <si>
    <t>Total Reserves for Composite Cost Pool</t>
  </si>
  <si>
    <t>Composite Pool interest credit
(Line 1 X Line 2)</t>
  </si>
  <si>
    <t>Non-Slice Pool interest credit
(Line 4 - Line 3)</t>
  </si>
  <si>
    <t>CWIP</t>
  </si>
  <si>
    <t>Direct Funding (T bonds)</t>
  </si>
  <si>
    <t>Direct Funding (Prepay)</t>
  </si>
  <si>
    <t>Total Direct Funding</t>
  </si>
  <si>
    <t>Long Term Study</t>
  </si>
  <si>
    <t>Lines of Credit</t>
  </si>
  <si>
    <t>`</t>
  </si>
  <si>
    <t xml:space="preserve">Other Income &amp; Expense (composite) </t>
  </si>
  <si>
    <t>Amortization -- CGS</t>
  </si>
  <si>
    <t>Amortization -- N. Wasco</t>
  </si>
  <si>
    <t>Amortization -- Cowlitz Falls</t>
  </si>
  <si>
    <t>Non Federal Interest (CGS)</t>
  </si>
  <si>
    <t>Non Federal Interest (N Wasco)</t>
  </si>
  <si>
    <t>Non Federal Interest (Lewis County)</t>
  </si>
  <si>
    <t>Repayment of NF Obligations (CGS)</t>
  </si>
  <si>
    <t>Repayment of NF Obligations (N Wasco)</t>
  </si>
  <si>
    <t>Repayment of NF Obligations (Cowlitz Falls)</t>
  </si>
  <si>
    <t>Federal plant additions</t>
  </si>
  <si>
    <t>Nonfederal plant additions</t>
  </si>
  <si>
    <t>Annual federal depreciation</t>
  </si>
  <si>
    <t>Federal debt additions</t>
  </si>
  <si>
    <t>Actuals</t>
  </si>
  <si>
    <t>ASSETS</t>
  </si>
  <si>
    <t>DEBT</t>
  </si>
  <si>
    <t>Starting federal debt</t>
  </si>
  <si>
    <t>total borrowing</t>
  </si>
  <si>
    <t>WNP1</t>
  </si>
  <si>
    <t>WNP3</t>
  </si>
  <si>
    <t>Total net debt service</t>
  </si>
  <si>
    <t>Total  (net)</t>
  </si>
  <si>
    <t>EN bond repayment</t>
  </si>
  <si>
    <t>EN LOC repayment</t>
  </si>
  <si>
    <t>Total Assets</t>
  </si>
  <si>
    <t>N. Wasco repayment</t>
  </si>
  <si>
    <t>Cowlitz Falls  repayment</t>
  </si>
  <si>
    <t>Starting nonfederal debt</t>
  </si>
  <si>
    <t>Treasury bond repayment</t>
  </si>
  <si>
    <t>Appropriations repayment</t>
  </si>
  <si>
    <t>Annual nonfed amortization</t>
  </si>
  <si>
    <t>Prior to FY 2020, nonfederal amortization matched the repayment of debt.  Starting in FY 2020, nonfederal amortization is calculated on a straight-line basis.</t>
  </si>
  <si>
    <t>Ending federal debt</t>
  </si>
  <si>
    <t>Ending nonfederal debt</t>
  </si>
  <si>
    <t>Ending accumulated fed. depreciation</t>
  </si>
  <si>
    <t>Starting accumulated fed. depreciation</t>
  </si>
  <si>
    <t>Ending accumulated nonfederal amort.</t>
  </si>
  <si>
    <t>Prepay principal repayment</t>
  </si>
  <si>
    <t>**</t>
  </si>
  <si>
    <t>Actual ending nonfederal asset value is net of amortization.</t>
  </si>
  <si>
    <t>EN debt additions *</t>
  </si>
  <si>
    <t>Accumulated nonfed amortization ***</t>
  </si>
  <si>
    <t>***</t>
  </si>
  <si>
    <t>Includes lines of credit</t>
  </si>
  <si>
    <t>Cummulative sale</t>
  </si>
  <si>
    <t>total spending on plant</t>
  </si>
  <si>
    <t>CRFM plant</t>
  </si>
  <si>
    <t>Sale of nonfederal assets (fuel)</t>
  </si>
  <si>
    <t>CASH FREE UP</t>
  </si>
  <si>
    <t>Cummulative depreciation</t>
  </si>
  <si>
    <t>Non Federal Interest (WNP 3)</t>
  </si>
  <si>
    <t>Non Federal Interest (WNP 1)</t>
  </si>
  <si>
    <t>Repayment of NF Obligations (WNP 1)</t>
  </si>
  <si>
    <t>Repayment of NF Obligations (WNP 3)</t>
  </si>
  <si>
    <t>Amortization -- WNP1</t>
  </si>
  <si>
    <t>Amortization -- WNP3</t>
  </si>
  <si>
    <t>Starting gross federal assets</t>
  </si>
  <si>
    <t>Ending gross federal assets</t>
  </si>
  <si>
    <t>Starting gross nonfederal assets</t>
  </si>
  <si>
    <t>Ending gross nonfederal assets **</t>
  </si>
  <si>
    <t>Debt to Asset Ratio  (Debt/Asset)</t>
  </si>
  <si>
    <t>Total Debt</t>
  </si>
  <si>
    <t>Premiums/Discounts</t>
  </si>
  <si>
    <t>BOND PREMIUMS/DISCOUNTS</t>
  </si>
  <si>
    <t>Amortization -- WNP 1</t>
  </si>
  <si>
    <t>Amortization -- WNP 3</t>
  </si>
  <si>
    <t>Cash Free-up (DSR)</t>
  </si>
  <si>
    <t>Repayment of NF Obligations (LOC)</t>
  </si>
  <si>
    <t>PREMIUMS/DISCOUNTS</t>
  </si>
  <si>
    <t>UN-GAPPED FOR RATIO CALCULATIONS</t>
  </si>
  <si>
    <t>CGS Line of Credit</t>
  </si>
  <si>
    <t>STUDY 3043, 2021 STUDY</t>
  </si>
  <si>
    <t>FEDERAL</t>
  </si>
  <si>
    <t>NON-FEDERAL</t>
  </si>
  <si>
    <t>Reductions to EN Principal</t>
  </si>
  <si>
    <t>Reductions to EN Interest</t>
  </si>
  <si>
    <t>Sources of Cash (DSR) 
for MRNR calc</t>
  </si>
  <si>
    <t>CGS Premiums refinanced</t>
  </si>
  <si>
    <t>ungapped TVA revenue</t>
  </si>
  <si>
    <t>Calculate wtd average for general plant and tech</t>
  </si>
  <si>
    <t>OTHER EXPENSE AND (INCOME)</t>
  </si>
  <si>
    <t>INTEREST INCOME ON DECOMMISSIONING TRUST</t>
  </si>
  <si>
    <t>CASH CONTRIBUTION TO DECOMMISSIONING TRUST</t>
  </si>
  <si>
    <t>NON-CASH EXPENSES (INTEREST INCOME &amp; GAINS/LOSSES)</t>
  </si>
  <si>
    <t>Accretion -- ARO liability</t>
  </si>
  <si>
    <t>Accretion -- CGS Decomm Trust liability</t>
  </si>
  <si>
    <t>Amortization -- CGS Decomm Trust asset</t>
  </si>
  <si>
    <t>Cash Contribution to CGS Decomm Trust</t>
  </si>
  <si>
    <t>Interest Income on Decommissioning Trust</t>
  </si>
  <si>
    <t>Other Expense and (Income) (Gains/Losses on Decomm Trust)</t>
  </si>
  <si>
    <t>Check against study</t>
  </si>
  <si>
    <t>Adjustments to NFDS</t>
  </si>
  <si>
    <t>TOTAL OTHER EXPENSE AND (INCOME)</t>
  </si>
  <si>
    <t>=+'Revised Revenue Test'!E95</t>
  </si>
  <si>
    <t>=+'Revised Revenue Test'!F95</t>
  </si>
  <si>
    <t xml:space="preserve">Prior to 2020, non-Federal debt was considered part of purchase and exchange power.  Starting in 2020, BPA is implementing new guidance on lease accounting. Non-Federal prinicpal and interest will be treated like Federal debt.  </t>
  </si>
  <si>
    <t>Colville Settlement</t>
  </si>
  <si>
    <t>Spokane Settlement</t>
  </si>
  <si>
    <t>ACCRETION</t>
  </si>
  <si>
    <t>Total NonFed Amortization</t>
  </si>
  <si>
    <t>check w/ repayment study</t>
  </si>
  <si>
    <t>Total gross (w/o TVA revenues)</t>
  </si>
  <si>
    <t>Check against repayment study</t>
  </si>
  <si>
    <t>check against repayment</t>
  </si>
  <si>
    <t>Cash contribution to CGS Decom Fund</t>
  </si>
  <si>
    <t>Amortization -- CGS incl ARC amort</t>
  </si>
  <si>
    <t>0006448 - POWER GRID MOD EXISTING</t>
  </si>
  <si>
    <t>0006449 - POWER GRID MOD INCREMENTAL</t>
  </si>
  <si>
    <t>0006549 - POWER INTERNAL SUPPORT (A)</t>
  </si>
  <si>
    <t>0006550 - POWER INTERNAL SUPPORT (C)</t>
  </si>
  <si>
    <t>0006551 - POWER INTERNAL SUPPPORT (O)</t>
  </si>
  <si>
    <t>0006564 - SALES &amp; SUPPORT (C)</t>
  </si>
  <si>
    <t>0006565 - SALES &amp; SUPPORT (O)</t>
  </si>
  <si>
    <t>0006581 - CONSERVATION SUPPORT COMM</t>
  </si>
  <si>
    <t>0006522 - COMMRCIAL ACT ENTRPRSE SVCS</t>
  </si>
  <si>
    <t>0006526 - ASSET MGMT ENTERPRISE SVCS</t>
  </si>
  <si>
    <t>0006531 - OPERATIONS ENTERPRISE SVCS</t>
  </si>
  <si>
    <t>0006033 - UNDISTRIBUTED REDUCTION</t>
  </si>
  <si>
    <t>Grid Mod</t>
  </si>
  <si>
    <t>Power Internal Support</t>
  </si>
  <si>
    <t>CGS new money</t>
  </si>
  <si>
    <t>IPR Initial</t>
  </si>
  <si>
    <t>OTHER INCOME (NET)</t>
  </si>
  <si>
    <t>Other Income (Net)           i.e.Gains/Losses on Decomm Trust</t>
  </si>
  <si>
    <t>Amortization of Refinancing Premiums/Discounts</t>
  </si>
  <si>
    <t>Amortization of Refinancing Premiums/Discounts (MRNR - Reverse Sign)</t>
  </si>
  <si>
    <t>Retirements</t>
  </si>
  <si>
    <t>Amortization of Cost of Issuance</t>
  </si>
  <si>
    <t>Amortization of Cost of Issuance (MRNR-reverse sign)</t>
  </si>
  <si>
    <t>AMORTIZATION OF COST OF ISSUANCE</t>
  </si>
  <si>
    <t>AMORTIZATION OF NON-FEDERAL  PREMIUMS/DISCOUNTS</t>
  </si>
  <si>
    <t>Deferred Borrowing</t>
  </si>
  <si>
    <t>FY 2023 Study</t>
  </si>
  <si>
    <t>CRFM studies</t>
  </si>
  <si>
    <t>PS Group -- Pwr Internal Support</t>
  </si>
  <si>
    <t>X 52% (PSRF share of total)</t>
  </si>
  <si>
    <t>X 30% (ResEx billing)</t>
  </si>
  <si>
    <t>+12% corp overhead</t>
  </si>
  <si>
    <t>DELETED ROWS</t>
  </si>
  <si>
    <t>Amortization of:</t>
  </si>
  <si>
    <t>Cost of Issuance</t>
  </si>
  <si>
    <t>Gains/losses on Extinguishment</t>
  </si>
  <si>
    <t>EIM Internal Support</t>
  </si>
  <si>
    <t>EIM EESC Charges (nonSLICE)</t>
  </si>
  <si>
    <t>EIM EESC Charges (COMPOSITE)</t>
  </si>
  <si>
    <t xml:space="preserve"> COLVILLE GENERATION SETTLEMENT</t>
  </si>
  <si>
    <t>SPOKANE GENERATION SETTLEMENT</t>
  </si>
  <si>
    <t>Total w/ gross premiums</t>
  </si>
  <si>
    <t>Total w/o premiums</t>
  </si>
  <si>
    <t>New Debt</t>
  </si>
  <si>
    <t>&lt;&lt;from Q2FY21 forecast</t>
  </si>
  <si>
    <t xml:space="preserve">Consists of depreciation plus other non-cash expenses and other adjustments and any accounting write-offs included in expenses.  Also removed revenue financing. Includes adjustments for non-cash revenues or other accrual to cash adjustments.  FY 2019 includes a one-time increase of $187 million to  rebalancie financial reserves between the transmissin and generation functions to correct for a misallocation error in the calclation of financial reserves attributed to the business units.  </t>
  </si>
  <si>
    <t xml:space="preserve">OPERATION </t>
  </si>
  <si>
    <t>AMORTIZATION 2/</t>
  </si>
  <si>
    <t>PLANNED NET REVENUE, TOTAL (38+39)</t>
  </si>
  <si>
    <t>Total Power IPR Operating Expenses</t>
  </si>
  <si>
    <t>Calculate wtd average for appropriations &amp; direct funded Corps/Bureau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</si>
</sst>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%"/>
    <numFmt numFmtId="167" formatCode="0.0%"/>
    <numFmt numFmtId="168" formatCode="0.0_)\%;\(0.0\)\%;0.0_)\%;@_)_%"/>
    <numFmt numFmtId="169" formatCode="#,##0.0_)_%;\(#,##0.0\)_%;0.0_)_%;@_)_%"/>
    <numFmt numFmtId="170" formatCode="0.000000"/>
    <numFmt numFmtId="171" formatCode="#,##0.0_);\(#,##0.0\);#,##0.0_);@_)"/>
    <numFmt numFmtId="172" formatCode="_(* #,##0.00000_);_(* \(#,##0.00000\);_(* &quot;-&quot;??_);_(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#,##0.0_)\x;\(#,##0.0\)\x;0.0_)\x;@_)_x"/>
    <numFmt numFmtId="177" formatCode="#,##0.0_)_x;\(#,##0.0\)_x;0.0_)_x;@_)_x"/>
    <numFmt numFmtId="178" formatCode="d\.mmm\.yy"/>
    <numFmt numFmtId="179" formatCode="_(* #,##0.00_);\(* #,##0.00\);_(* &quot;-&quot;??_);_(@_)"/>
    <numFmt numFmtId="180" formatCode="0.00_)"/>
    <numFmt numFmtId="181" formatCode="0.000%;;"/>
    <numFmt numFmtId="182" formatCode="_(* #,##0.0_);_(* \(#,##0.0\);_(* &quot;-&quot;_);_(@_)"/>
    <numFmt numFmtId="183" formatCode="_([$$-409]* #,##0_);_([$$-409]* \(#,##0\);_([$$-409]* &quot;-&quot;??_);_(@_)"/>
    <numFmt numFmtId="184" formatCode="[$-10409]#,###;\(#,###\);\-;"/>
    <numFmt numFmtId="185" formatCode="[$-10409]#,###;\(#,###\);0"/>
    <numFmt numFmtId="186" formatCode="_(* #,##0.0_);_(* \(#,##0.0\);_(* &quot;-&quot;??_);_(@_)"/>
    <numFmt numFmtId="187" formatCode="0_);\(0\)"/>
    <numFmt numFmtId="188" formatCode="_(&quot;$&quot;* #,##0_);_(&quot;$&quot;* \(#,##0\);_(&quot;$&quot;* &quot;-&quot;??_);_(@_)"/>
    <numFmt numFmtId="189" formatCode="#,##0.000000000"/>
    <numFmt numFmtId="190" formatCode="#,##0.0000000000_);\(#,##0.0000000000\)"/>
    <numFmt numFmtId="191" formatCode="#,##0.0_);\(#,##0.0\)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sz val="10"/>
      <color indexed="12"/>
      <name val="Arial"/>
      <family val="2"/>
    </font>
    <font>
      <sz val="11"/>
      <color indexed="36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sz val="10"/>
      <name val="Tahoma"/>
      <family val="2"/>
    </font>
    <font>
      <b/>
      <sz val="10"/>
      <name val="Arial Unicode MS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55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8"/>
      <name val="Times New Roman"/>
      <family val="1"/>
    </font>
    <font>
      <sz val="11"/>
      <color indexed="58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21"/>
      <name val="Calibri"/>
      <family val="2"/>
    </font>
    <font>
      <b/>
      <sz val="15"/>
      <color indexed="62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21"/>
      <name val="Cambria"/>
      <family val="2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Courier"/>
      <family val="3"/>
    </font>
    <font>
      <b/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</font>
    <font>
      <sz val="10"/>
      <color theme="0"/>
      <name val="Arial"/>
      <family val="2"/>
    </font>
    <font>
      <u val="singleAccounting"/>
      <sz val="12"/>
      <name val="Times New Roman"/>
      <family val="1"/>
    </font>
    <font>
      <sz val="10"/>
      <color rgb="FFFF0000"/>
      <name val="Arial"/>
      <family val="2"/>
    </font>
    <font>
      <i/>
      <sz val="10"/>
      <name val="Calibri"/>
      <family val="2"/>
    </font>
    <font>
      <b/>
      <sz val="18"/>
      <name val="Arial"/>
      <family val="2"/>
    </font>
    <font>
      <sz val="12"/>
      <color rgb="FF1F497D"/>
      <name val="Times New Roman"/>
      <family val="1"/>
    </font>
    <font>
      <b/>
      <sz val="16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color rgb="FF00B0F0"/>
      <name val="Arial"/>
      <family val="2"/>
    </font>
    <font>
      <b/>
      <i/>
      <sz val="11"/>
      <color rgb="FF00B0F0"/>
      <name val="Arial"/>
      <family val="2"/>
    </font>
    <font>
      <i/>
      <sz val="11"/>
      <color rgb="FF00B0F0"/>
      <name val="Arial"/>
      <family val="2"/>
    </font>
    <font>
      <b/>
      <sz val="11"/>
      <color rgb="FFFF0000"/>
      <name val="Calibri"/>
      <family val="2"/>
      <scheme val="minor"/>
    </font>
    <font>
      <u val="singleAccounting"/>
      <sz val="12"/>
      <name val="Arial"/>
      <family val="2"/>
    </font>
    <font>
      <u val="singleAccounting"/>
      <sz val="10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u/>
      <sz val="10"/>
      <name val="Cambria"/>
      <family val="1"/>
    </font>
    <font>
      <u/>
      <sz val="10"/>
      <color theme="1"/>
      <name val="Cambria"/>
      <family val="1"/>
    </font>
    <font>
      <b/>
      <i/>
      <sz val="10"/>
      <color rgb="FF00B0F0"/>
      <name val="Cambria"/>
      <family val="1"/>
    </font>
    <font>
      <b/>
      <sz val="11"/>
      <color rgb="FFFF0000"/>
      <name val="Cambria"/>
      <family val="1"/>
    </font>
    <font>
      <sz val="10"/>
      <color theme="1"/>
      <name val="Cambria"/>
      <family val="1"/>
    </font>
    <font>
      <b/>
      <sz val="14"/>
      <name val="Times"/>
      <family val="1"/>
    </font>
    <font>
      <b/>
      <i/>
      <sz val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1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88">
    <xf numFmtId="0" fontId="0" fillId="0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4" fillId="0" borderId="0">
      <alignment horizontal="left" wrapText="1"/>
    </xf>
    <xf numFmtId="171" fontId="26" fillId="0" borderId="0" applyFont="0" applyFill="0" applyBorder="0" applyAlignment="0" applyProtection="0"/>
    <xf numFmtId="172" fontId="34" fillId="0" borderId="0">
      <alignment horizontal="left" wrapText="1"/>
    </xf>
    <xf numFmtId="170" fontId="34" fillId="0" borderId="0">
      <alignment horizontal="left" wrapText="1"/>
    </xf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0" fontId="34" fillId="0" borderId="0">
      <alignment horizontal="left" wrapText="1"/>
    </xf>
    <xf numFmtId="0" fontId="48" fillId="0" borderId="0" applyNumberFormat="0" applyFill="0" applyBorder="0" applyAlignment="0" applyProtection="0"/>
    <xf numFmtId="38" fontId="26" fillId="2" borderId="0" applyNumberFormat="0" applyFont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Protection="0">
      <alignment horizontal="right"/>
    </xf>
    <xf numFmtId="172" fontId="34" fillId="0" borderId="0">
      <alignment horizontal="left" wrapText="1"/>
    </xf>
    <xf numFmtId="170" fontId="34" fillId="0" borderId="0">
      <alignment horizontal="left" wrapText="1"/>
    </xf>
    <xf numFmtId="0" fontId="49" fillId="0" borderId="0" applyNumberFormat="0" applyFill="0" applyBorder="0" applyProtection="0">
      <alignment vertical="top"/>
    </xf>
    <xf numFmtId="38" fontId="40" fillId="0" borderId="1" applyNumberFormat="0" applyFill="0" applyAlignment="0" applyProtection="0"/>
    <xf numFmtId="38" fontId="40" fillId="0" borderId="1" applyNumberFormat="0" applyFill="0" applyAlignment="0" applyProtection="0"/>
    <xf numFmtId="38" fontId="50" fillId="0" borderId="2" applyNumberFormat="0" applyFill="0" applyProtection="0">
      <alignment horizontal="center"/>
    </xf>
    <xf numFmtId="38" fontId="50" fillId="0" borderId="2" applyNumberFormat="0" applyFill="0" applyProtection="0">
      <alignment horizontal="center"/>
    </xf>
    <xf numFmtId="38" fontId="50" fillId="0" borderId="0" applyNumberFormat="0" applyFill="0" applyBorder="0" applyProtection="0">
      <alignment horizontal="left"/>
    </xf>
    <xf numFmtId="38" fontId="51" fillId="0" borderId="0" applyNumberFormat="0" applyFill="0" applyBorder="0" applyProtection="0">
      <alignment horizontal="centerContinuous"/>
    </xf>
    <xf numFmtId="172" fontId="34" fillId="0" borderId="0">
      <alignment horizontal="left" wrapText="1"/>
    </xf>
    <xf numFmtId="0" fontId="6" fillId="3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39" fillId="3" borderId="0" applyNumberFormat="0" applyBorder="0" applyAlignment="0" applyProtection="0"/>
    <xf numFmtId="0" fontId="53" fillId="5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107" fillId="37" borderId="0" applyNumberFormat="0" applyBorder="0" applyAlignment="0" applyProtection="0"/>
    <xf numFmtId="0" fontId="6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39" fillId="6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07" fillId="38" borderId="0" applyNumberFormat="0" applyBorder="0" applyAlignment="0" applyProtection="0"/>
    <xf numFmtId="0" fontId="6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9" borderId="0" applyNumberFormat="0" applyBorder="0" applyAlignment="0" applyProtection="0"/>
    <xf numFmtId="0" fontId="52" fillId="9" borderId="0" applyNumberFormat="0" applyBorder="0" applyAlignment="0" applyProtection="0"/>
    <xf numFmtId="0" fontId="53" fillId="9" borderId="0" applyNumberFormat="0" applyBorder="0" applyAlignment="0" applyProtection="0"/>
    <xf numFmtId="0" fontId="39" fillId="8" borderId="0" applyNumberFormat="0" applyBorder="0" applyAlignment="0" applyProtection="0"/>
    <xf numFmtId="0" fontId="53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107" fillId="39" borderId="0" applyNumberFormat="0" applyBorder="0" applyAlignment="0" applyProtection="0"/>
    <xf numFmtId="0" fontId="6" fillId="10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39" fillId="10" borderId="0" applyNumberFormat="0" applyBorder="0" applyAlignment="0" applyProtection="0"/>
    <xf numFmtId="0" fontId="53" fillId="5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07" fillId="40" borderId="0" applyNumberFormat="0" applyBorder="0" applyAlignment="0" applyProtection="0"/>
    <xf numFmtId="0" fontId="6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1" borderId="0" applyNumberFormat="0" applyBorder="0" applyAlignment="0" applyProtection="0"/>
    <xf numFmtId="0" fontId="52" fillId="12" borderId="0" applyNumberFormat="0" applyBorder="0" applyAlignment="0" applyProtection="0"/>
    <xf numFmtId="0" fontId="53" fillId="11" borderId="0" applyNumberFormat="0" applyBorder="0" applyAlignment="0" applyProtection="0"/>
    <xf numFmtId="0" fontId="39" fillId="11" borderId="0" applyNumberFormat="0" applyBorder="0" applyAlignment="0" applyProtection="0"/>
    <xf numFmtId="0" fontId="53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107" fillId="41" borderId="0" applyNumberFormat="0" applyBorder="0" applyAlignment="0" applyProtection="0"/>
    <xf numFmtId="0" fontId="6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39" fillId="7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107" fillId="42" borderId="0" applyNumberFormat="0" applyBorder="0" applyAlignment="0" applyProtection="0"/>
    <xf numFmtId="0" fontId="6" fillId="13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39" fillId="13" borderId="0" applyNumberFormat="0" applyBorder="0" applyAlignment="0" applyProtection="0"/>
    <xf numFmtId="0" fontId="53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107" fillId="43" borderId="0" applyNumberFormat="0" applyBorder="0" applyAlignment="0" applyProtection="0"/>
    <xf numFmtId="0" fontId="6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39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107" fillId="44" borderId="0" applyNumberFormat="0" applyBorder="0" applyAlignment="0" applyProtection="0"/>
    <xf numFmtId="0" fontId="6" fillId="17" borderId="0" applyNumberFormat="0" applyBorder="0" applyAlignment="0" applyProtection="0"/>
    <xf numFmtId="0" fontId="52" fillId="2" borderId="0" applyNumberFormat="0" applyBorder="0" applyAlignment="0" applyProtection="0"/>
    <xf numFmtId="0" fontId="53" fillId="2" borderId="0" applyNumberFormat="0" applyBorder="0" applyAlignment="0" applyProtection="0"/>
    <xf numFmtId="0" fontId="52" fillId="2" borderId="0" applyNumberFormat="0" applyBorder="0" applyAlignment="0" applyProtection="0"/>
    <xf numFmtId="0" fontId="53" fillId="2" borderId="0" applyNumberFormat="0" applyBorder="0" applyAlignment="0" applyProtection="0"/>
    <xf numFmtId="0" fontId="39" fillId="17" borderId="0" applyNumberFormat="0" applyBorder="0" applyAlignment="0" applyProtection="0"/>
    <xf numFmtId="0" fontId="53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107" fillId="45" borderId="0" applyNumberFormat="0" applyBorder="0" applyAlignment="0" applyProtection="0"/>
    <xf numFmtId="0" fontId="6" fillId="10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39" fillId="10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107" fillId="46" borderId="0" applyNumberFormat="0" applyBorder="0" applyAlignment="0" applyProtection="0"/>
    <xf numFmtId="0" fontId="6" fillId="13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52" fillId="12" borderId="0" applyNumberFormat="0" applyBorder="0" applyAlignment="0" applyProtection="0"/>
    <xf numFmtId="0" fontId="53" fillId="13" borderId="0" applyNumberFormat="0" applyBorder="0" applyAlignment="0" applyProtection="0"/>
    <xf numFmtId="0" fontId="39" fillId="13" borderId="0" applyNumberFormat="0" applyBorder="0" applyAlignment="0" applyProtection="0"/>
    <xf numFmtId="0" fontId="53" fillId="13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107" fillId="47" borderId="0" applyNumberFormat="0" applyBorder="0" applyAlignment="0" applyProtection="0"/>
    <xf numFmtId="0" fontId="6" fillId="18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7" borderId="0" applyNumberFormat="0" applyBorder="0" applyAlignment="0" applyProtection="0"/>
    <xf numFmtId="0" fontId="39" fillId="18" borderId="0" applyNumberFormat="0" applyBorder="0" applyAlignment="0" applyProtection="0"/>
    <xf numFmtId="0" fontId="53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107" fillId="48" borderId="0" applyNumberFormat="0" applyBorder="0" applyAlignment="0" applyProtection="0"/>
    <xf numFmtId="0" fontId="7" fillId="19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46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108" fillId="49" borderId="0" applyNumberFormat="0" applyBorder="0" applyAlignment="0" applyProtection="0"/>
    <xf numFmtId="0" fontId="7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16" borderId="0" applyNumberFormat="0" applyBorder="0" applyAlignment="0" applyProtection="0"/>
    <xf numFmtId="0" fontId="46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108" fillId="50" borderId="0" applyNumberFormat="0" applyBorder="0" applyAlignment="0" applyProtection="0"/>
    <xf numFmtId="0" fontId="7" fillId="17" borderId="0" applyNumberFormat="0" applyBorder="0" applyAlignment="0" applyProtection="0"/>
    <xf numFmtId="0" fontId="54" fillId="2" borderId="0" applyNumberFormat="0" applyBorder="0" applyAlignment="0" applyProtection="0"/>
    <xf numFmtId="0" fontId="52" fillId="2" borderId="0" applyNumberFormat="0" applyBorder="0" applyAlignment="0" applyProtection="0"/>
    <xf numFmtId="0" fontId="54" fillId="2" borderId="0" applyNumberFormat="0" applyBorder="0" applyAlignment="0" applyProtection="0"/>
    <xf numFmtId="0" fontId="52" fillId="2" borderId="0" applyNumberFormat="0" applyBorder="0" applyAlignment="0" applyProtection="0"/>
    <xf numFmtId="0" fontId="46" fillId="1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108" fillId="51" borderId="0" applyNumberFormat="0" applyBorder="0" applyAlignment="0" applyProtection="0"/>
    <xf numFmtId="0" fontId="7" fillId="21" borderId="0" applyNumberFormat="0" applyBorder="0" applyAlignment="0" applyProtection="0"/>
    <xf numFmtId="0" fontId="54" fillId="15" borderId="0" applyNumberFormat="0" applyBorder="0" applyAlignment="0" applyProtection="0"/>
    <xf numFmtId="0" fontId="52" fillId="15" borderId="0" applyNumberFormat="0" applyBorder="0" applyAlignment="0" applyProtection="0"/>
    <xf numFmtId="0" fontId="54" fillId="15" borderId="0" applyNumberFormat="0" applyBorder="0" applyAlignment="0" applyProtection="0"/>
    <xf numFmtId="0" fontId="52" fillId="15" borderId="0" applyNumberFormat="0" applyBorder="0" applyAlignment="0" applyProtection="0"/>
    <xf numFmtId="0" fontId="46" fillId="21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108" fillId="52" borderId="0" applyNumberFormat="0" applyBorder="0" applyAlignment="0" applyProtection="0"/>
    <xf numFmtId="0" fontId="7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46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08" fillId="53" borderId="0" applyNumberFormat="0" applyBorder="0" applyAlignment="0" applyProtection="0"/>
    <xf numFmtId="0" fontId="7" fillId="22" borderId="0" applyNumberFormat="0" applyBorder="0" applyAlignment="0" applyProtection="0"/>
    <xf numFmtId="0" fontId="54" fillId="23" borderId="0" applyNumberFormat="0" applyBorder="0" applyAlignment="0" applyProtection="0"/>
    <xf numFmtId="0" fontId="52" fillId="7" borderId="0" applyNumberFormat="0" applyBorder="0" applyAlignment="0" applyProtection="0"/>
    <xf numFmtId="0" fontId="54" fillId="23" borderId="0" applyNumberFormat="0" applyBorder="0" applyAlignment="0" applyProtection="0"/>
    <xf numFmtId="0" fontId="52" fillId="7" borderId="0" applyNumberFormat="0" applyBorder="0" applyAlignment="0" applyProtection="0"/>
    <xf numFmtId="0" fontId="46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08" fillId="54" borderId="0" applyNumberFormat="0" applyBorder="0" applyAlignment="0" applyProtection="0"/>
    <xf numFmtId="0" fontId="7" fillId="24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46" fillId="24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108" fillId="55" borderId="0" applyNumberFormat="0" applyBorder="0" applyAlignment="0" applyProtection="0"/>
    <xf numFmtId="0" fontId="7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25" borderId="0" applyNumberFormat="0" applyBorder="0" applyAlignment="0" applyProtection="0"/>
    <xf numFmtId="0" fontId="46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108" fillId="56" borderId="0" applyNumberFormat="0" applyBorder="0" applyAlignment="0" applyProtection="0"/>
    <xf numFmtId="0" fontId="7" fillId="26" borderId="0" applyNumberFormat="0" applyBorder="0" applyAlignment="0" applyProtection="0"/>
    <xf numFmtId="0" fontId="54" fillId="26" borderId="0" applyNumberFormat="0" applyBorder="0" applyAlignment="0" applyProtection="0"/>
    <xf numFmtId="0" fontId="52" fillId="26" borderId="0" applyNumberFormat="0" applyBorder="0" applyAlignment="0" applyProtection="0"/>
    <xf numFmtId="0" fontId="54" fillId="26" borderId="0" applyNumberFormat="0" applyBorder="0" applyAlignment="0" applyProtection="0"/>
    <xf numFmtId="0" fontId="52" fillId="26" borderId="0" applyNumberFormat="0" applyBorder="0" applyAlignment="0" applyProtection="0"/>
    <xf numFmtId="0" fontId="46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108" fillId="57" borderId="0" applyNumberFormat="0" applyBorder="0" applyAlignment="0" applyProtection="0"/>
    <xf numFmtId="0" fontId="7" fillId="21" borderId="0" applyNumberFormat="0" applyBorder="0" applyAlignment="0" applyProtection="0"/>
    <xf numFmtId="0" fontId="54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7" borderId="0" applyNumberFormat="0" applyBorder="0" applyAlignment="0" applyProtection="0"/>
    <xf numFmtId="0" fontId="52" fillId="27" borderId="0" applyNumberFormat="0" applyBorder="0" applyAlignment="0" applyProtection="0"/>
    <xf numFmtId="0" fontId="46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108" fillId="58" borderId="0" applyNumberFormat="0" applyBorder="0" applyAlignment="0" applyProtection="0"/>
    <xf numFmtId="0" fontId="7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20" borderId="0" applyNumberFormat="0" applyBorder="0" applyAlignment="0" applyProtection="0"/>
    <xf numFmtId="0" fontId="46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108" fillId="59" borderId="0" applyNumberFormat="0" applyBorder="0" applyAlignment="0" applyProtection="0"/>
    <xf numFmtId="0" fontId="7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28" borderId="0" applyNumberFormat="0" applyBorder="0" applyAlignment="0" applyProtection="0"/>
    <xf numFmtId="0" fontId="46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108" fillId="60" borderId="0" applyNumberFormat="0" applyBorder="0" applyAlignment="0" applyProtection="0"/>
    <xf numFmtId="0" fontId="55" fillId="0" borderId="0" applyNumberFormat="0" applyFill="0" applyBorder="0" applyAlignment="0">
      <protection locked="0"/>
    </xf>
    <xf numFmtId="0" fontId="8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6" borderId="0" applyNumberFormat="0" applyBorder="0" applyAlignment="0" applyProtection="0"/>
    <xf numFmtId="0" fontId="58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09" fillId="61" borderId="0" applyNumberFormat="0" applyBorder="0" applyAlignment="0" applyProtection="0"/>
    <xf numFmtId="178" fontId="36" fillId="0" borderId="0" applyFill="0" applyBorder="0" applyAlignment="0"/>
    <xf numFmtId="0" fontId="9" fillId="15" borderId="3" applyNumberFormat="0" applyAlignment="0" applyProtection="0"/>
    <xf numFmtId="0" fontId="59" fillId="17" borderId="4" applyNumberFormat="0" applyAlignment="0" applyProtection="0"/>
    <xf numFmtId="0" fontId="59" fillId="5" borderId="3" applyNumberFormat="0" applyAlignment="0" applyProtection="0"/>
    <xf numFmtId="0" fontId="59" fillId="17" borderId="4" applyNumberFormat="0" applyAlignment="0" applyProtection="0"/>
    <xf numFmtId="0" fontId="59" fillId="5" borderId="3" applyNumberFormat="0" applyAlignment="0" applyProtection="0"/>
    <xf numFmtId="0" fontId="60" fillId="15" borderId="3" applyNumberFormat="0" applyAlignment="0" applyProtection="0"/>
    <xf numFmtId="0" fontId="59" fillId="17" borderId="4" applyNumberFormat="0" applyAlignment="0" applyProtection="0"/>
    <xf numFmtId="0" fontId="59" fillId="17" borderId="4" applyNumberFormat="0" applyAlignment="0" applyProtection="0"/>
    <xf numFmtId="0" fontId="59" fillId="17" borderId="4" applyNumberFormat="0" applyAlignment="0" applyProtection="0"/>
    <xf numFmtId="0" fontId="60" fillId="15" borderId="3" applyNumberFormat="0" applyAlignment="0" applyProtection="0"/>
    <xf numFmtId="0" fontId="110" fillId="62" borderId="31" applyNumberFormat="0" applyAlignment="0" applyProtection="0"/>
    <xf numFmtId="0" fontId="10" fillId="5" borderId="5" applyNumberFormat="0" applyAlignment="0" applyProtection="0"/>
    <xf numFmtId="0" fontId="61" fillId="5" borderId="5" applyNumberFormat="0" applyAlignment="0" applyProtection="0"/>
    <xf numFmtId="0" fontId="62" fillId="15" borderId="5" applyNumberFormat="0" applyAlignment="0" applyProtection="0"/>
    <xf numFmtId="0" fontId="61" fillId="5" borderId="5" applyNumberFormat="0" applyAlignment="0" applyProtection="0"/>
    <xf numFmtId="0" fontId="62" fillId="15" borderId="5" applyNumberFormat="0" applyAlignment="0" applyProtection="0"/>
    <xf numFmtId="0" fontId="35" fillId="5" borderId="5" applyNumberFormat="0" applyAlignment="0" applyProtection="0"/>
    <xf numFmtId="0" fontId="61" fillId="5" borderId="5" applyNumberFormat="0" applyAlignment="0" applyProtection="0"/>
    <xf numFmtId="0" fontId="61" fillId="5" borderId="5" applyNumberFormat="0" applyAlignment="0" applyProtection="0"/>
    <xf numFmtId="0" fontId="61" fillId="5" borderId="5" applyNumberFormat="0" applyAlignment="0" applyProtection="0"/>
    <xf numFmtId="0" fontId="35" fillId="5" borderId="5" applyNumberFormat="0" applyAlignment="0" applyProtection="0"/>
    <xf numFmtId="0" fontId="111" fillId="63" borderId="32" applyNumberFormat="0" applyAlignment="0" applyProtection="0"/>
    <xf numFmtId="43" fontId="5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66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6" fillId="0" borderId="0"/>
    <xf numFmtId="0" fontId="66" fillId="0" borderId="0"/>
    <xf numFmtId="0" fontId="63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4" fontId="26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6" applyNumberFormat="0" applyFont="0" applyFill="0" applyAlignment="0" applyProtection="0"/>
    <xf numFmtId="170" fontId="34" fillId="0" borderId="0"/>
    <xf numFmtId="0" fontId="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72" fillId="0" borderId="0" applyFont="0" applyFill="0" applyBorder="0" applyAlignment="0" applyProtection="0"/>
    <xf numFmtId="0" fontId="66" fillId="0" borderId="0"/>
    <xf numFmtId="0" fontId="73" fillId="0" borderId="0" applyFill="0" applyBorder="0" applyProtection="0">
      <alignment horizontal="left"/>
    </xf>
    <xf numFmtId="0" fontId="12" fillId="8" borderId="0" applyNumberFormat="0" applyBorder="0" applyAlignment="0" applyProtection="0"/>
    <xf numFmtId="0" fontId="74" fillId="12" borderId="0" applyNumberFormat="0" applyBorder="0" applyAlignment="0" applyProtection="0"/>
    <xf numFmtId="0" fontId="75" fillId="8" borderId="0" applyNumberFormat="0" applyBorder="0" applyAlignment="0" applyProtection="0"/>
    <xf numFmtId="0" fontId="74" fillId="12" borderId="0" applyNumberFormat="0" applyBorder="0" applyAlignment="0" applyProtection="0"/>
    <xf numFmtId="0" fontId="75" fillId="8" borderId="0" applyNumberFormat="0" applyBorder="0" applyAlignment="0" applyProtection="0"/>
    <xf numFmtId="0" fontId="45" fillId="8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13" fillId="64" borderId="0" applyNumberFormat="0" applyBorder="0" applyAlignment="0" applyProtection="0"/>
    <xf numFmtId="38" fontId="26" fillId="29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76" fillId="0" borderId="0" applyProtection="0">
      <alignment horizontal="right"/>
    </xf>
    <xf numFmtId="0" fontId="32" fillId="0" borderId="7" applyNumberFormat="0" applyAlignment="0" applyProtection="0">
      <alignment horizontal="left"/>
    </xf>
    <xf numFmtId="0" fontId="32" fillId="0" borderId="8">
      <alignment horizontal="left"/>
    </xf>
    <xf numFmtId="0" fontId="13" fillId="0" borderId="9" applyNumberFormat="0" applyFill="0" applyAlignment="0" applyProtection="0"/>
    <xf numFmtId="0" fontId="77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3" fillId="0" borderId="9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13" fillId="0" borderId="9" applyNumberFormat="0" applyFill="0" applyAlignment="0" applyProtection="0"/>
    <xf numFmtId="0" fontId="114" fillId="0" borderId="33" applyNumberFormat="0" applyFill="0" applyAlignment="0" applyProtection="0"/>
    <xf numFmtId="0" fontId="14" fillId="0" borderId="11" applyNumberFormat="0" applyFill="0" applyAlignment="0" applyProtection="0"/>
    <xf numFmtId="0" fontId="79" fillId="0" borderId="12" applyNumberForma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14" fillId="0" borderId="1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4" fillId="0" borderId="11" applyNumberFormat="0" applyFill="0" applyAlignment="0" applyProtection="0"/>
    <xf numFmtId="0" fontId="115" fillId="0" borderId="34" applyNumberFormat="0" applyFill="0" applyAlignment="0" applyProtection="0"/>
    <xf numFmtId="0" fontId="15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1" fillId="0" borderId="14" applyNumberFormat="0" applyFill="0" applyAlignment="0" applyProtection="0"/>
    <xf numFmtId="0" fontId="15" fillId="0" borderId="13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5" fillId="0" borderId="13" applyNumberFormat="0" applyFill="0" applyAlignment="0" applyProtection="0"/>
    <xf numFmtId="0" fontId="116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38" fontId="47" fillId="0" borderId="0"/>
    <xf numFmtId="40" fontId="4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7" fillId="7" borderId="3" applyNumberFormat="0" applyAlignment="0" applyProtection="0"/>
    <xf numFmtId="10" fontId="26" fillId="30" borderId="15" applyNumberFormat="0" applyBorder="0" applyAlignment="0" applyProtection="0"/>
    <xf numFmtId="0" fontId="83" fillId="7" borderId="4" applyNumberFormat="0" applyAlignment="0" applyProtection="0"/>
    <xf numFmtId="0" fontId="83" fillId="7" borderId="3" applyNumberFormat="0" applyAlignment="0" applyProtection="0"/>
    <xf numFmtId="0" fontId="83" fillId="7" borderId="4" applyNumberFormat="0" applyAlignment="0" applyProtection="0"/>
    <xf numFmtId="0" fontId="83" fillId="7" borderId="3" applyNumberFormat="0" applyAlignment="0" applyProtection="0"/>
    <xf numFmtId="0" fontId="84" fillId="7" borderId="3" applyNumberFormat="0" applyAlignment="0" applyProtection="0"/>
    <xf numFmtId="0" fontId="83" fillId="7" borderId="4" applyNumberFormat="0" applyAlignment="0" applyProtection="0"/>
    <xf numFmtId="0" fontId="83" fillId="7" borderId="4" applyNumberFormat="0" applyAlignment="0" applyProtection="0"/>
    <xf numFmtId="0" fontId="83" fillId="7" borderId="4" applyNumberFormat="0" applyAlignment="0" applyProtection="0"/>
    <xf numFmtId="0" fontId="83" fillId="7" borderId="3" applyNumberFormat="0" applyAlignment="0" applyProtection="0"/>
    <xf numFmtId="0" fontId="83" fillId="7" borderId="3" applyNumberFormat="0" applyAlignment="0" applyProtection="0"/>
    <xf numFmtId="0" fontId="83" fillId="7" borderId="3" applyNumberFormat="0" applyAlignment="0" applyProtection="0"/>
    <xf numFmtId="0" fontId="83" fillId="7" borderId="3" applyNumberFormat="0" applyAlignment="0" applyProtection="0"/>
    <xf numFmtId="0" fontId="83" fillId="7" borderId="3" applyNumberFormat="0" applyAlignment="0" applyProtection="0"/>
    <xf numFmtId="0" fontId="84" fillId="7" borderId="3" applyNumberFormat="0" applyAlignment="0" applyProtection="0"/>
    <xf numFmtId="0" fontId="119" fillId="65" borderId="31" applyNumberFormat="0" applyAlignment="0" applyProtection="0"/>
    <xf numFmtId="41" fontId="55" fillId="31" borderId="16">
      <alignment horizontal="left"/>
      <protection locked="0"/>
    </xf>
    <xf numFmtId="0" fontId="26" fillId="29" borderId="0"/>
    <xf numFmtId="0" fontId="18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17" applyNumberFormat="0" applyFill="0" applyAlignment="0" applyProtection="0"/>
    <xf numFmtId="0" fontId="120" fillId="0" borderId="36" applyNumberFormat="0" applyFill="0" applyAlignment="0" applyProtection="0"/>
    <xf numFmtId="44" fontId="33" fillId="0" borderId="18" applyNumberFormat="0" applyFont="0" applyAlignment="0">
      <alignment horizontal="center"/>
    </xf>
    <xf numFmtId="44" fontId="33" fillId="0" borderId="19" applyNumberFormat="0" applyFont="0" applyAlignment="0">
      <alignment horizontal="center"/>
    </xf>
    <xf numFmtId="0" fontId="63" fillId="0" borderId="0" applyFont="0" applyFill="0" applyBorder="0" applyAlignment="0" applyProtection="0">
      <alignment horizontal="right"/>
    </xf>
    <xf numFmtId="0" fontId="19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8" fillId="2" borderId="0" applyNumberFormat="0" applyBorder="0" applyAlignment="0" applyProtection="0"/>
    <xf numFmtId="0" fontId="87" fillId="2" borderId="0" applyNumberFormat="0" applyBorder="0" applyAlignment="0" applyProtection="0"/>
    <xf numFmtId="0" fontId="88" fillId="2" borderId="0" applyNumberFormat="0" applyBorder="0" applyAlignment="0" applyProtection="0"/>
    <xf numFmtId="0" fontId="88" fillId="2" borderId="0" applyNumberFormat="0" applyBorder="0" applyAlignment="0" applyProtection="0"/>
    <xf numFmtId="0" fontId="121" fillId="66" borderId="0" applyNumberFormat="0" applyBorder="0" applyAlignment="0" applyProtection="0"/>
    <xf numFmtId="37" fontId="89" fillId="0" borderId="0"/>
    <xf numFmtId="180" fontId="90" fillId="0" borderId="0"/>
    <xf numFmtId="0" fontId="34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53" fillId="0" borderId="0"/>
    <xf numFmtId="0" fontId="53" fillId="0" borderId="0"/>
    <xf numFmtId="0" fontId="107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26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53" fillId="0" borderId="0"/>
    <xf numFmtId="0" fontId="53" fillId="0" borderId="0"/>
    <xf numFmtId="0" fontId="107" fillId="0" borderId="0"/>
    <xf numFmtId="0" fontId="64" fillId="0" borderId="0"/>
    <xf numFmtId="0" fontId="107" fillId="0" borderId="0"/>
    <xf numFmtId="0" fontId="53" fillId="0" borderId="0"/>
    <xf numFmtId="0" fontId="53" fillId="0" borderId="0"/>
    <xf numFmtId="0" fontId="107" fillId="0" borderId="0"/>
    <xf numFmtId="0" fontId="64" fillId="0" borderId="0"/>
    <xf numFmtId="0" fontId="10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7" fillId="0" borderId="0"/>
    <xf numFmtId="0" fontId="64" fillId="0" borderId="0"/>
    <xf numFmtId="0" fontId="53" fillId="0" borderId="0"/>
    <xf numFmtId="0" fontId="107" fillId="0" borderId="0"/>
    <xf numFmtId="0" fontId="107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07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9" borderId="20" applyNumberFormat="0" applyFont="0" applyAlignment="0" applyProtection="0"/>
    <xf numFmtId="0" fontId="34" fillId="9" borderId="20" applyNumberFormat="0" applyFont="0" applyAlignment="0" applyProtection="0"/>
    <xf numFmtId="0" fontId="34" fillId="9" borderId="20" applyNumberFormat="0" applyFont="0" applyAlignment="0" applyProtection="0"/>
    <xf numFmtId="0" fontId="34" fillId="9" borderId="4" applyNumberFormat="0" applyFont="0" applyAlignment="0" applyProtection="0"/>
    <xf numFmtId="0" fontId="34" fillId="9" borderId="4" applyNumberFormat="0" applyFont="0" applyAlignment="0" applyProtection="0"/>
    <xf numFmtId="0" fontId="34" fillId="9" borderId="4" applyNumberFormat="0" applyFont="0" applyAlignment="0" applyProtection="0"/>
    <xf numFmtId="0" fontId="34" fillId="9" borderId="20" applyNumberFormat="0" applyFont="0" applyAlignment="0" applyProtection="0"/>
    <xf numFmtId="0" fontId="52" fillId="9" borderId="20" applyNumberFormat="0" applyFont="0" applyAlignment="0" applyProtection="0"/>
    <xf numFmtId="0" fontId="52" fillId="9" borderId="20" applyNumberFormat="0" applyFont="0" applyAlignment="0" applyProtection="0"/>
    <xf numFmtId="0" fontId="52" fillId="67" borderId="37" applyNumberFormat="0" applyFont="0" applyAlignment="0" applyProtection="0"/>
    <xf numFmtId="0" fontId="34" fillId="9" borderId="20" applyNumberFormat="0" applyFont="0" applyAlignment="0" applyProtection="0"/>
    <xf numFmtId="0" fontId="20" fillId="15" borderId="21" applyNumberFormat="0" applyAlignment="0" applyProtection="0"/>
    <xf numFmtId="0" fontId="92" fillId="17" borderId="21" applyNumberFormat="0" applyAlignment="0" applyProtection="0"/>
    <xf numFmtId="0" fontId="92" fillId="5" borderId="21" applyNumberFormat="0" applyAlignment="0" applyProtection="0"/>
    <xf numFmtId="0" fontId="92" fillId="17" borderId="21" applyNumberFormat="0" applyAlignment="0" applyProtection="0"/>
    <xf numFmtId="0" fontId="92" fillId="5" borderId="21" applyNumberFormat="0" applyAlignment="0" applyProtection="0"/>
    <xf numFmtId="0" fontId="93" fillId="15" borderId="21" applyNumberFormat="0" applyAlignment="0" applyProtection="0"/>
    <xf numFmtId="0" fontId="92" fillId="17" borderId="21" applyNumberFormat="0" applyAlignment="0" applyProtection="0"/>
    <xf numFmtId="0" fontId="92" fillId="17" borderId="21" applyNumberFormat="0" applyAlignment="0" applyProtection="0"/>
    <xf numFmtId="0" fontId="92" fillId="17" borderId="21" applyNumberFormat="0" applyAlignment="0" applyProtection="0"/>
    <xf numFmtId="0" fontId="93" fillId="15" borderId="21" applyNumberFormat="0" applyAlignment="0" applyProtection="0"/>
    <xf numFmtId="0" fontId="122" fillId="62" borderId="38" applyNumberFormat="0" applyAlignment="0" applyProtection="0"/>
    <xf numFmtId="1" fontId="94" fillId="0" borderId="0" applyProtection="0">
      <alignment horizontal="right" vertical="center"/>
    </xf>
    <xf numFmtId="0" fontId="66" fillId="0" borderId="0"/>
    <xf numFmtId="9" fontId="5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22">
      <alignment horizontal="center"/>
    </xf>
    <xf numFmtId="0" fontId="22" fillId="0" borderId="22">
      <alignment horizontal="center"/>
    </xf>
    <xf numFmtId="0" fontId="22" fillId="0" borderId="22">
      <alignment horizontal="center"/>
    </xf>
    <xf numFmtId="0" fontId="22" fillId="0" borderId="22">
      <alignment horizont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32" borderId="0" applyNumberFormat="0" applyFont="0" applyBorder="0" applyAlignment="0" applyProtection="0"/>
    <xf numFmtId="0" fontId="21" fillId="32" borderId="0" applyNumberFormat="0" applyFont="0" applyBorder="0" applyAlignment="0" applyProtection="0"/>
    <xf numFmtId="0" fontId="21" fillId="32" borderId="0" applyNumberFormat="0" applyFont="0" applyBorder="0" applyAlignment="0" applyProtection="0"/>
    <xf numFmtId="181" fontId="73" fillId="0" borderId="23" applyFont="0" applyFill="0" applyBorder="0" applyAlignment="0" applyProtection="0"/>
    <xf numFmtId="0" fontId="95" fillId="0" borderId="0" applyNumberFormat="0" applyFill="0" applyBorder="0" applyAlignment="0" applyProtection="0"/>
    <xf numFmtId="14" fontId="96" fillId="0" borderId="0" applyNumberFormat="0" applyFill="0" applyBorder="0" applyAlignment="0" applyProtection="0">
      <alignment horizontal="left"/>
    </xf>
    <xf numFmtId="182" fontId="34" fillId="0" borderId="0" applyFont="0" applyFill="0" applyAlignment="0">
      <alignment horizontal="right"/>
    </xf>
    <xf numFmtId="0" fontId="97" fillId="29" borderId="0" applyNumberFormat="0" applyFont="0" applyBorder="0" applyAlignment="0" applyProtection="0"/>
    <xf numFmtId="39" fontId="34" fillId="33" borderId="0"/>
    <xf numFmtId="38" fontId="26" fillId="0" borderId="24"/>
    <xf numFmtId="38" fontId="47" fillId="0" borderId="25"/>
    <xf numFmtId="39" fontId="96" fillId="34" borderId="0"/>
    <xf numFmtId="170" fontId="34" fillId="0" borderId="0">
      <alignment horizontal="left" wrapText="1"/>
    </xf>
    <xf numFmtId="40" fontId="98" fillId="0" borderId="0" applyBorder="0">
      <alignment horizontal="right"/>
    </xf>
    <xf numFmtId="0" fontId="99" fillId="0" borderId="0" applyBorder="0" applyProtection="0">
      <alignment vertical="center"/>
    </xf>
    <xf numFmtId="0" fontId="99" fillId="0" borderId="26" applyBorder="0" applyProtection="0">
      <alignment horizontal="right" vertical="center"/>
    </xf>
    <xf numFmtId="0" fontId="100" fillId="35" borderId="0" applyBorder="0" applyProtection="0">
      <alignment horizontal="centerContinuous" vertical="center"/>
    </xf>
    <xf numFmtId="0" fontId="100" fillId="36" borderId="26" applyBorder="0" applyProtection="0">
      <alignment horizontal="centerContinuous" vertical="center"/>
    </xf>
    <xf numFmtId="0" fontId="47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26" fillId="0" borderId="23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3" fillId="30" borderId="0">
      <alignment horizontal="left" wrapText="1"/>
    </xf>
    <xf numFmtId="0" fontId="104" fillId="0" borderId="0">
      <alignment horizontal="left" vertical="center"/>
    </xf>
    <xf numFmtId="0" fontId="24" fillId="0" borderId="27" applyNumberFormat="0" applyFill="0" applyAlignment="0" applyProtection="0"/>
    <xf numFmtId="0" fontId="62" fillId="0" borderId="28" applyNumberFormat="0" applyFill="0" applyAlignment="0" applyProtection="0"/>
    <xf numFmtId="0" fontId="105" fillId="0" borderId="28" applyNumberFormat="0" applyFill="0" applyAlignment="0" applyProtection="0"/>
    <xf numFmtId="0" fontId="62" fillId="0" borderId="28" applyNumberFormat="0" applyFill="0" applyAlignment="0" applyProtection="0"/>
    <xf numFmtId="0" fontId="105" fillId="0" borderId="28" applyNumberFormat="0" applyFill="0" applyAlignment="0" applyProtection="0"/>
    <xf numFmtId="0" fontId="37" fillId="0" borderId="27" applyNumberFormat="0" applyFill="0" applyAlignment="0" applyProtection="0"/>
    <xf numFmtId="0" fontId="105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37" fillId="0" borderId="27" applyNumberFormat="0" applyFill="0" applyAlignment="0" applyProtection="0"/>
    <xf numFmtId="0" fontId="124" fillId="0" borderId="39" applyNumberFormat="0" applyFill="0" applyAlignment="0" applyProtection="0"/>
    <xf numFmtId="37" fontId="34" fillId="0" borderId="0"/>
    <xf numFmtId="0" fontId="2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4" fontId="1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</cellStyleXfs>
  <cellXfs count="410">
    <xf numFmtId="0" fontId="0" fillId="0" borderId="0" xfId="0"/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3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336" applyNumberFormat="1" applyFont="1"/>
    <xf numFmtId="0" fontId="0" fillId="0" borderId="0" xfId="0" applyFill="1"/>
    <xf numFmtId="9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0" fontId="5" fillId="0" borderId="0" xfId="1108" applyNumberFormat="1"/>
    <xf numFmtId="10" fontId="0" fillId="0" borderId="0" xfId="1108" applyNumberFormat="1" applyFont="1"/>
    <xf numFmtId="164" fontId="5" fillId="0" borderId="0" xfId="336" applyNumberFormat="1" applyFill="1" applyBorder="1"/>
    <xf numFmtId="164" fontId="0" fillId="0" borderId="0" xfId="336" applyNumberFormat="1" applyFont="1" applyFill="1"/>
    <xf numFmtId="43" fontId="0" fillId="0" borderId="0" xfId="0" applyNumberFormat="1"/>
    <xf numFmtId="0" fontId="33" fillId="0" borderId="0" xfId="0" applyFont="1"/>
    <xf numFmtId="37" fontId="0" fillId="0" borderId="0" xfId="0" applyNumberFormat="1"/>
    <xf numFmtId="37" fontId="43" fillId="0" borderId="0" xfId="0" applyNumberFormat="1" applyFont="1"/>
    <xf numFmtId="37" fontId="0" fillId="0" borderId="0" xfId="0" applyNumberFormat="1" applyFill="1"/>
    <xf numFmtId="0" fontId="34" fillId="0" borderId="0" xfId="0" applyFont="1"/>
    <xf numFmtId="37" fontId="34" fillId="0" borderId="0" xfId="0" applyNumberFormat="1" applyFont="1" applyFill="1"/>
    <xf numFmtId="0" fontId="34" fillId="0" borderId="0" xfId="0" applyFont="1" applyFill="1"/>
    <xf numFmtId="0" fontId="0" fillId="0" borderId="0" xfId="0" applyAlignment="1">
      <alignment horizontal="left"/>
    </xf>
    <xf numFmtId="0" fontId="34" fillId="0" borderId="0" xfId="0" applyFont="1" applyAlignment="1">
      <alignment horizontal="right"/>
    </xf>
    <xf numFmtId="0" fontId="5" fillId="0" borderId="0" xfId="0" applyFont="1"/>
    <xf numFmtId="0" fontId="33" fillId="0" borderId="0" xfId="0" applyFont="1" applyAlignment="1">
      <alignment horizontal="right"/>
    </xf>
    <xf numFmtId="164" fontId="5" fillId="0" borderId="0" xfId="336" applyNumberFormat="1"/>
    <xf numFmtId="0" fontId="0" fillId="0" borderId="0" xfId="0" quotePrefix="1" applyAlignment="1">
      <alignment horizontal="left"/>
    </xf>
    <xf numFmtId="0" fontId="33" fillId="0" borderId="0" xfId="0" applyFont="1" applyAlignment="1">
      <alignment horizontal="center"/>
    </xf>
    <xf numFmtId="14" fontId="33" fillId="0" borderId="0" xfId="0" applyNumberFormat="1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0" fontId="126" fillId="0" borderId="0" xfId="0" applyFont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33" fillId="0" borderId="0" xfId="0" applyFont="1" applyAlignment="1" applyProtection="1">
      <alignment horizontal="left"/>
    </xf>
    <xf numFmtId="14" fontId="126" fillId="0" borderId="0" xfId="0" applyNumberFormat="1" applyFont="1" applyAlignment="1">
      <alignment horizontal="left"/>
    </xf>
    <xf numFmtId="3" fontId="128" fillId="0" borderId="0" xfId="0" applyNumberFormat="1" applyFont="1"/>
    <xf numFmtId="3" fontId="34" fillId="0" borderId="0" xfId="0" applyNumberFormat="1" applyFont="1" applyAlignment="1"/>
    <xf numFmtId="3" fontId="126" fillId="0" borderId="0" xfId="0" applyNumberFormat="1" applyFont="1"/>
    <xf numFmtId="3" fontId="126" fillId="0" borderId="0" xfId="0" applyNumberFormat="1" applyFont="1" applyAlignment="1">
      <alignment horizontal="right"/>
    </xf>
    <xf numFmtId="1" fontId="33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3" fontId="0" fillId="0" borderId="0" xfId="0" quotePrefix="1" applyNumberFormat="1" applyAlignment="1">
      <alignment horizontal="left"/>
    </xf>
    <xf numFmtId="3" fontId="43" fillId="0" borderId="0" xfId="0" applyNumberFormat="1" applyFont="1"/>
    <xf numFmtId="3" fontId="33" fillId="0" borderId="0" xfId="0" applyNumberFormat="1" applyFont="1"/>
    <xf numFmtId="1" fontId="33" fillId="0" borderId="0" xfId="0" applyNumberFormat="1" applyFont="1" applyAlignment="1">
      <alignment horizontal="left"/>
    </xf>
    <xf numFmtId="3" fontId="34" fillId="0" borderId="0" xfId="0" applyNumberFormat="1" applyFont="1"/>
    <xf numFmtId="3" fontId="0" fillId="0" borderId="0" xfId="0" applyNumberFormat="1" applyBorder="1"/>
    <xf numFmtId="38" fontId="0" fillId="0" borderId="0" xfId="0" applyNumberFormat="1"/>
    <xf numFmtId="3" fontId="127" fillId="0" borderId="0" xfId="0" applyNumberFormat="1" applyFont="1" applyAlignment="1" applyProtection="1">
      <alignment horizontal="center"/>
    </xf>
    <xf numFmtId="3" fontId="127" fillId="0" borderId="0" xfId="0" applyNumberFormat="1" applyFont="1"/>
    <xf numFmtId="3" fontId="0" fillId="0" borderId="0" xfId="0" applyNumberFormat="1" applyProtection="1"/>
    <xf numFmtId="3" fontId="0" fillId="0" borderId="0" xfId="0" applyNumberFormat="1" applyAlignment="1">
      <alignment horizontal="center"/>
    </xf>
    <xf numFmtId="3" fontId="0" fillId="0" borderId="0" xfId="0" quotePrefix="1" applyNumberFormat="1"/>
    <xf numFmtId="0" fontId="27" fillId="0" borderId="0" xfId="0" applyFont="1" applyFill="1"/>
    <xf numFmtId="0" fontId="27" fillId="0" borderId="0" xfId="0" applyFont="1" applyFill="1" applyAlignment="1"/>
    <xf numFmtId="0" fontId="28" fillId="0" borderId="0" xfId="0" applyFont="1" applyFill="1" applyAlignment="1"/>
    <xf numFmtId="166" fontId="28" fillId="0" borderId="0" xfId="1108" applyNumberFormat="1" applyFont="1" applyFill="1" applyAlignment="1"/>
    <xf numFmtId="0" fontId="29" fillId="0" borderId="0" xfId="0" applyFont="1" applyFill="1" applyBorder="1" applyAlignment="1">
      <alignment horizontal="center"/>
    </xf>
    <xf numFmtId="0" fontId="30" fillId="0" borderId="29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31" fillId="0" borderId="30" xfId="0" applyFont="1" applyFill="1" applyBorder="1"/>
    <xf numFmtId="164" fontId="31" fillId="0" borderId="0" xfId="336" applyNumberFormat="1" applyFont="1" applyFill="1" applyBorder="1"/>
    <xf numFmtId="164" fontId="30" fillId="0" borderId="29" xfId="336" applyNumberFormat="1" applyFont="1" applyFill="1" applyBorder="1"/>
    <xf numFmtId="164" fontId="31" fillId="0" borderId="0" xfId="336" applyNumberFormat="1" applyFont="1" applyFill="1" applyBorder="1" applyAlignment="1">
      <alignment horizontal="left"/>
    </xf>
    <xf numFmtId="0" fontId="30" fillId="0" borderId="0" xfId="0" applyFont="1" applyFill="1" applyBorder="1"/>
    <xf numFmtId="0" fontId="29" fillId="0" borderId="0" xfId="0" applyFont="1" applyFill="1" applyBorder="1"/>
    <xf numFmtId="165" fontId="29" fillId="0" borderId="0" xfId="0" applyNumberFormat="1" applyFont="1" applyFill="1" applyBorder="1"/>
    <xf numFmtId="0" fontId="126" fillId="0" borderId="0" xfId="0" applyFont="1" applyAlignment="1">
      <alignment horizontal="center"/>
    </xf>
    <xf numFmtId="0" fontId="33" fillId="0" borderId="0" xfId="0" quotePrefix="1" applyFont="1" applyAlignment="1">
      <alignment horizontal="left"/>
    </xf>
    <xf numFmtId="0" fontId="47" fillId="0" borderId="0" xfId="0" applyFont="1" applyAlignment="1">
      <alignment horizontal="right"/>
    </xf>
    <xf numFmtId="0" fontId="26" fillId="0" borderId="0" xfId="0" quotePrefix="1" applyFont="1" applyAlignment="1">
      <alignment horizontal="left"/>
    </xf>
    <xf numFmtId="0" fontId="129" fillId="0" borderId="0" xfId="0" applyFont="1"/>
    <xf numFmtId="9" fontId="0" fillId="0" borderId="0" xfId="1108" applyFont="1"/>
    <xf numFmtId="38" fontId="33" fillId="0" borderId="0" xfId="0" applyNumberFormat="1" applyFont="1"/>
    <xf numFmtId="0" fontId="0" fillId="0" borderId="0" xfId="0" quotePrefix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quotePrefix="1" applyFont="1" applyAlignment="1">
      <alignment horizontal="center"/>
    </xf>
    <xf numFmtId="165" fontId="0" fillId="0" borderId="0" xfId="0" applyNumberFormat="1"/>
    <xf numFmtId="164" fontId="33" fillId="0" borderId="0" xfId="336" applyNumberFormat="1" applyFont="1"/>
    <xf numFmtId="38" fontId="34" fillId="0" borderId="0" xfId="336" applyNumberFormat="1" applyFont="1"/>
    <xf numFmtId="38" fontId="5" fillId="0" borderId="0" xfId="336" applyNumberFormat="1"/>
    <xf numFmtId="38" fontId="5" fillId="0" borderId="0" xfId="336" applyNumberFormat="1" applyFont="1"/>
    <xf numFmtId="38" fontId="5" fillId="0" borderId="0" xfId="336" applyNumberFormat="1" applyFont="1" applyAlignment="1">
      <alignment horizontal="right"/>
    </xf>
    <xf numFmtId="38" fontId="5" fillId="0" borderId="0" xfId="336" applyNumberFormat="1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4" fontId="29" fillId="0" borderId="0" xfId="336" applyNumberFormat="1" applyFont="1" applyFill="1" applyBorder="1"/>
    <xf numFmtId="0" fontId="33" fillId="0" borderId="0" xfId="0" applyFont="1" applyAlignment="1">
      <alignment horizontal="center"/>
    </xf>
    <xf numFmtId="164" fontId="34" fillId="0" borderId="0" xfId="340" applyNumberFormat="1" applyFill="1"/>
    <xf numFmtId="0" fontId="0" fillId="0" borderId="0" xfId="0" applyFill="1" applyAlignment="1">
      <alignment horizontal="left"/>
    </xf>
    <xf numFmtId="0" fontId="33" fillId="0" borderId="0" xfId="0" applyFont="1" applyAlignment="1">
      <alignment horizontal="center"/>
    </xf>
    <xf numFmtId="164" fontId="5" fillId="0" borderId="0" xfId="336" applyNumberFormat="1" applyFill="1"/>
    <xf numFmtId="38" fontId="5" fillId="0" borderId="0" xfId="336" applyNumberFormat="1" applyFill="1"/>
    <xf numFmtId="3" fontId="0" fillId="0" borderId="0" xfId="0" applyNumberFormat="1" applyFill="1"/>
    <xf numFmtId="10" fontId="5" fillId="0" borderId="0" xfId="1108" applyNumberFormat="1" applyFill="1"/>
    <xf numFmtId="38" fontId="0" fillId="0" borderId="0" xfId="0" applyNumberFormat="1" applyFill="1"/>
    <xf numFmtId="0" fontId="33" fillId="0" borderId="0" xfId="0" applyFont="1" applyAlignment="1">
      <alignment horizontal="center"/>
    </xf>
    <xf numFmtId="10" fontId="0" fillId="0" borderId="0" xfId="1108" applyNumberFormat="1" applyFont="1" applyFill="1"/>
    <xf numFmtId="0" fontId="33" fillId="0" borderId="0" xfId="0" applyFont="1" applyFill="1"/>
    <xf numFmtId="164" fontId="33" fillId="0" borderId="0" xfId="336" applyNumberFormat="1" applyFont="1" applyFill="1"/>
    <xf numFmtId="0" fontId="33" fillId="0" borderId="0" xfId="0" applyFont="1" applyFill="1" applyAlignment="1">
      <alignment horizontal="center"/>
    </xf>
    <xf numFmtId="183" fontId="0" fillId="0" borderId="0" xfId="0" applyNumberFormat="1"/>
    <xf numFmtId="183" fontId="0" fillId="0" borderId="0" xfId="336" applyNumberFormat="1" applyFont="1"/>
    <xf numFmtId="185" fontId="130" fillId="0" borderId="0" xfId="0" applyNumberFormat="1" applyFont="1" applyFill="1" applyAlignment="1" applyProtection="1">
      <alignment vertical="top" wrapText="1" readingOrder="1"/>
      <protection locked="0"/>
    </xf>
    <xf numFmtId="0" fontId="131" fillId="0" borderId="41" xfId="0" applyFont="1" applyFill="1" applyBorder="1" applyAlignment="1" applyProtection="1">
      <alignment horizontal="right" vertical="top" wrapText="1" readingOrder="1"/>
      <protection locked="0"/>
    </xf>
    <xf numFmtId="164" fontId="130" fillId="0" borderId="0" xfId="336" applyNumberFormat="1" applyFont="1" applyFill="1"/>
    <xf numFmtId="164" fontId="130" fillId="0" borderId="0" xfId="336" applyNumberFormat="1" applyFont="1" applyFill="1" applyAlignment="1" applyProtection="1">
      <alignment vertical="top" wrapText="1" readingOrder="1"/>
      <protection locked="0"/>
    </xf>
    <xf numFmtId="164" fontId="131" fillId="0" borderId="41" xfId="336" applyNumberFormat="1" applyFont="1" applyFill="1" applyBorder="1" applyAlignment="1" applyProtection="1">
      <alignment horizontal="right" vertical="top" wrapText="1" readingOrder="1"/>
      <protection locked="0"/>
    </xf>
    <xf numFmtId="9" fontId="34" fillId="0" borderId="0" xfId="1108" applyFont="1"/>
    <xf numFmtId="0" fontId="130" fillId="0" borderId="0" xfId="0" applyFont="1" applyFill="1"/>
    <xf numFmtId="0" fontId="130" fillId="0" borderId="0" xfId="0" applyFont="1" applyFill="1" applyAlignment="1">
      <alignment horizontal="right"/>
    </xf>
    <xf numFmtId="0" fontId="131" fillId="0" borderId="40" xfId="0" applyFont="1" applyFill="1" applyBorder="1" applyAlignment="1" applyProtection="1">
      <alignment horizontal="right" wrapText="1" readingOrder="1"/>
      <protection locked="0"/>
    </xf>
    <xf numFmtId="0" fontId="130" fillId="0" borderId="0" xfId="0" applyFont="1" applyFill="1" applyAlignment="1" applyProtection="1">
      <alignment horizontal="right" vertical="top" wrapText="1" readingOrder="1"/>
      <protection locked="0"/>
    </xf>
    <xf numFmtId="164" fontId="124" fillId="0" borderId="0" xfId="336" applyNumberFormat="1" applyFont="1" applyFill="1" applyBorder="1"/>
    <xf numFmtId="164" fontId="0" fillId="0" borderId="0" xfId="336" applyNumberFormat="1" applyFont="1" applyFill="1" applyBorder="1"/>
    <xf numFmtId="0" fontId="33" fillId="0" borderId="0" xfId="0" applyFont="1" applyAlignment="1">
      <alignment horizontal="center"/>
    </xf>
    <xf numFmtId="164" fontId="27" fillId="0" borderId="0" xfId="336" applyNumberFormat="1" applyFont="1" applyFill="1" applyAlignment="1"/>
    <xf numFmtId="164" fontId="28" fillId="0" borderId="0" xfId="336" applyNumberFormat="1" applyFont="1" applyFill="1" applyAlignment="1"/>
    <xf numFmtId="164" fontId="27" fillId="0" borderId="0" xfId="336" applyNumberFormat="1" applyFont="1" applyFill="1"/>
    <xf numFmtId="164" fontId="30" fillId="0" borderId="0" xfId="336" applyNumberFormat="1" applyFont="1" applyFill="1" applyBorder="1" applyAlignment="1">
      <alignment horizontal="center"/>
    </xf>
    <xf numFmtId="183" fontId="0" fillId="0" borderId="0" xfId="0" applyNumberFormat="1" applyFill="1"/>
    <xf numFmtId="183" fontId="0" fillId="0" borderId="0" xfId="336" applyNumberFormat="1" applyFont="1" applyFill="1"/>
    <xf numFmtId="186" fontId="0" fillId="0" borderId="0" xfId="336" applyNumberFormat="1" applyFont="1"/>
    <xf numFmtId="186" fontId="0" fillId="0" borderId="0" xfId="336" applyNumberFormat="1" applyFont="1" applyAlignment="1" applyProtection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33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164" fontId="130" fillId="0" borderId="0" xfId="336" applyNumberFormat="1" applyFont="1" applyFill="1" applyAlignment="1">
      <alignment horizontal="right"/>
    </xf>
    <xf numFmtId="184" fontId="139" fillId="0" borderId="0" xfId="0" applyNumberFormat="1" applyFont="1" applyFill="1" applyAlignment="1" applyProtection="1">
      <alignment horizontal="right" vertical="top" wrapText="1" readingOrder="1"/>
      <protection locked="0"/>
    </xf>
    <xf numFmtId="164" fontId="0" fillId="0" borderId="0" xfId="0" applyNumberFormat="1" applyFill="1"/>
    <xf numFmtId="164" fontId="142" fillId="0" borderId="0" xfId="336" applyNumberFormat="1" applyFont="1" applyFill="1"/>
    <xf numFmtId="0" fontId="136" fillId="0" borderId="0" xfId="0" applyFont="1"/>
    <xf numFmtId="188" fontId="41" fillId="0" borderId="0" xfId="1474" applyNumberFormat="1" applyFont="1" applyFill="1" applyAlignment="1">
      <alignment horizontal="right"/>
    </xf>
    <xf numFmtId="188" fontId="41" fillId="0" borderId="0" xfId="1474" applyNumberFormat="1" applyFont="1" applyAlignment="1">
      <alignment horizontal="right"/>
    </xf>
    <xf numFmtId="164" fontId="143" fillId="0" borderId="0" xfId="336" applyNumberFormat="1" applyFont="1" applyFill="1" applyAlignment="1">
      <alignment horizontal="right"/>
    </xf>
    <xf numFmtId="164" fontId="143" fillId="0" borderId="0" xfId="336" applyNumberFormat="1" applyFont="1" applyAlignment="1">
      <alignment horizontal="right"/>
    </xf>
    <xf numFmtId="0" fontId="33" fillId="0" borderId="0" xfId="0" applyFont="1" applyAlignment="1">
      <alignment horizontal="center"/>
    </xf>
    <xf numFmtId="37" fontId="144" fillId="0" borderId="0" xfId="0" applyNumberFormat="1" applyFont="1" applyFill="1"/>
    <xf numFmtId="0" fontId="33" fillId="0" borderId="0" xfId="0" applyFont="1" applyAlignment="1">
      <alignment horizontal="center"/>
    </xf>
    <xf numFmtId="37" fontId="0" fillId="0" borderId="0" xfId="0" quotePrefix="1" applyNumberFormat="1" applyFill="1" applyAlignment="1">
      <alignment horizontal="right"/>
    </xf>
    <xf numFmtId="164" fontId="5" fillId="0" borderId="0" xfId="0" applyNumberFormat="1" applyFont="1" applyFill="1"/>
    <xf numFmtId="43" fontId="0" fillId="0" borderId="0" xfId="336" applyFont="1"/>
    <xf numFmtId="164" fontId="34" fillId="0" borderId="0" xfId="336" applyNumberFormat="1" applyFont="1" applyFill="1"/>
    <xf numFmtId="0" fontId="5" fillId="0" borderId="0" xfId="0" applyFont="1" applyFill="1"/>
    <xf numFmtId="10" fontId="0" fillId="0" borderId="0" xfId="0" applyNumberFormat="1" applyFill="1"/>
    <xf numFmtId="0" fontId="140" fillId="0" borderId="0" xfId="0" applyFont="1" applyFill="1"/>
    <xf numFmtId="0" fontId="145" fillId="0" borderId="0" xfId="0" applyFont="1" applyFill="1" applyBorder="1"/>
    <xf numFmtId="0" fontId="141" fillId="0" borderId="0" xfId="0" applyFont="1" applyFill="1" applyBorder="1"/>
    <xf numFmtId="164" fontId="141" fillId="0" borderId="0" xfId="336" applyNumberFormat="1" applyFont="1" applyFill="1" applyBorder="1"/>
    <xf numFmtId="164" fontId="141" fillId="0" borderId="0" xfId="336" applyNumberFormat="1" applyFont="1" applyFill="1" applyBorder="1" applyAlignment="1">
      <alignment horizontal="left"/>
    </xf>
    <xf numFmtId="0" fontId="147" fillId="0" borderId="0" xfId="0" applyFont="1" applyAlignment="1">
      <alignment vertical="center"/>
    </xf>
    <xf numFmtId="0" fontId="33" fillId="0" borderId="0" xfId="0" applyFont="1" applyFill="1" applyBorder="1" applyAlignment="1">
      <alignment horizontal="center"/>
    </xf>
    <xf numFmtId="166" fontId="0" fillId="0" borderId="0" xfId="1108" applyNumberFormat="1" applyFont="1" applyFill="1"/>
    <xf numFmtId="0" fontId="134" fillId="0" borderId="0" xfId="0" applyFont="1" applyFill="1"/>
    <xf numFmtId="164" fontId="5" fillId="0" borderId="0" xfId="336" applyNumberFormat="1" applyFont="1" applyFill="1"/>
    <xf numFmtId="0" fontId="34" fillId="0" borderId="0" xfId="0" applyFont="1" applyFill="1" applyAlignment="1">
      <alignment horizontal="right"/>
    </xf>
    <xf numFmtId="164" fontId="34" fillId="0" borderId="0" xfId="336" applyNumberFormat="1" applyFont="1" applyFill="1" applyAlignment="1">
      <alignment horizontal="right"/>
    </xf>
    <xf numFmtId="164" fontId="140" fillId="0" borderId="0" xfId="336" applyNumberFormat="1" applyFont="1" applyFill="1"/>
    <xf numFmtId="0" fontId="148" fillId="0" borderId="0" xfId="0" applyFont="1" applyFill="1"/>
    <xf numFmtId="164" fontId="5" fillId="0" borderId="0" xfId="336" quotePrefix="1" applyNumberFormat="1" applyFont="1" applyFill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130" fillId="0" borderId="0" xfId="336" applyNumberFormat="1" applyFont="1" applyFill="1" applyAlignment="1" applyProtection="1">
      <alignment horizontal="right" vertical="top" wrapText="1" readingOrder="1"/>
      <protection locked="0"/>
    </xf>
    <xf numFmtId="164" fontId="149" fillId="0" borderId="0" xfId="336" applyNumberFormat="1" applyFont="1" applyFill="1" applyBorder="1"/>
    <xf numFmtId="164" fontId="130" fillId="0" borderId="0" xfId="0" applyNumberFormat="1" applyFont="1" applyFill="1" applyAlignment="1" applyProtection="1">
      <alignment horizontal="right" vertical="top" wrapText="1" readingOrder="1"/>
      <protection locked="0"/>
    </xf>
    <xf numFmtId="185" fontId="149" fillId="0" borderId="0" xfId="1485" applyNumberFormat="1" applyFont="1" applyFill="1" applyBorder="1"/>
    <xf numFmtId="164" fontId="153" fillId="0" borderId="0" xfId="1476" applyNumberFormat="1" applyFont="1" applyFill="1"/>
    <xf numFmtId="0" fontId="154" fillId="0" borderId="0" xfId="1475" applyFont="1" applyFill="1"/>
    <xf numFmtId="164" fontId="154" fillId="0" borderId="0" xfId="1475" applyNumberFormat="1" applyFont="1" applyFill="1"/>
    <xf numFmtId="0" fontId="154" fillId="0" borderId="0" xfId="1475" applyFont="1" applyFill="1" applyAlignment="1">
      <alignment horizontal="center"/>
    </xf>
    <xf numFmtId="0" fontId="155" fillId="0" borderId="0" xfId="1475" applyNumberFormat="1" applyFont="1" applyFill="1" applyAlignment="1">
      <alignment horizontal="left"/>
    </xf>
    <xf numFmtId="0" fontId="154" fillId="0" borderId="0" xfId="1475" applyNumberFormat="1" applyFont="1" applyFill="1" applyAlignment="1">
      <alignment horizontal="center"/>
    </xf>
    <xf numFmtId="164" fontId="154" fillId="0" borderId="0" xfId="336" applyNumberFormat="1" applyFont="1" applyFill="1" applyAlignment="1">
      <alignment horizontal="right"/>
    </xf>
    <xf numFmtId="164" fontId="154" fillId="0" borderId="0" xfId="336" applyNumberFormat="1" applyFont="1" applyFill="1"/>
    <xf numFmtId="164" fontId="153" fillId="0" borderId="0" xfId="336" applyNumberFormat="1" applyFont="1" applyFill="1" applyAlignment="1">
      <alignment horizontal="right"/>
    </xf>
    <xf numFmtId="164" fontId="156" fillId="0" borderId="0" xfId="336" applyNumberFormat="1" applyFont="1" applyFill="1"/>
    <xf numFmtId="164" fontId="157" fillId="0" borderId="0" xfId="336" applyNumberFormat="1" applyFont="1" applyFill="1"/>
    <xf numFmtId="189" fontId="0" fillId="0" borderId="0" xfId="0" applyNumberFormat="1"/>
    <xf numFmtId="164" fontId="32" fillId="0" borderId="0" xfId="336" applyNumberFormat="1" applyFont="1" applyFill="1" applyAlignment="1">
      <alignment horizontal="right"/>
    </xf>
    <xf numFmtId="164" fontId="154" fillId="0" borderId="0" xfId="1475" applyNumberFormat="1" applyFont="1" applyFill="1" applyAlignment="1">
      <alignment horizontal="center"/>
    </xf>
    <xf numFmtId="0" fontId="0" fillId="68" borderId="0" xfId="0" applyFill="1"/>
    <xf numFmtId="0" fontId="33" fillId="68" borderId="0" xfId="0" applyFont="1" applyFill="1" applyAlignment="1">
      <alignment horizontal="center"/>
    </xf>
    <xf numFmtId="0" fontId="33" fillId="68" borderId="0" xfId="0" applyFont="1" applyFill="1"/>
    <xf numFmtId="164" fontId="5" fillId="68" borderId="0" xfId="336" applyNumberFormat="1" applyFill="1"/>
    <xf numFmtId="0" fontId="33" fillId="68" borderId="0" xfId="0" quotePrefix="1" applyFont="1" applyFill="1" applyAlignment="1">
      <alignment horizontal="left"/>
    </xf>
    <xf numFmtId="10" fontId="5" fillId="68" borderId="0" xfId="1108" applyNumberFormat="1" applyFill="1"/>
    <xf numFmtId="0" fontId="0" fillId="68" borderId="0" xfId="0" quotePrefix="1" applyFill="1" applyAlignment="1">
      <alignment horizontal="left"/>
    </xf>
    <xf numFmtId="164" fontId="33" fillId="68" borderId="0" xfId="336" applyNumberFormat="1" applyFont="1" applyFill="1"/>
    <xf numFmtId="164" fontId="2" fillId="0" borderId="0" xfId="336" applyNumberFormat="1" applyFont="1" applyFill="1" applyBorder="1"/>
    <xf numFmtId="186" fontId="5" fillId="0" borderId="0" xfId="336" applyNumberFormat="1" applyFont="1"/>
    <xf numFmtId="190" fontId="0" fillId="0" borderId="0" xfId="0" applyNumberFormat="1"/>
    <xf numFmtId="37" fontId="5" fillId="0" borderId="0" xfId="0" applyNumberFormat="1" applyFont="1" applyFill="1"/>
    <xf numFmtId="37" fontId="43" fillId="0" borderId="0" xfId="0" applyNumberFormat="1" applyFont="1" applyFill="1"/>
    <xf numFmtId="0" fontId="33" fillId="0" borderId="0" xfId="0" applyFont="1" applyAlignment="1">
      <alignment horizontal="center"/>
    </xf>
    <xf numFmtId="8" fontId="0" fillId="0" borderId="0" xfId="0" applyNumberFormat="1"/>
    <xf numFmtId="0" fontId="124" fillId="0" borderId="0" xfId="0" applyFont="1" applyFill="1" applyBorder="1"/>
    <xf numFmtId="0" fontId="33" fillId="0" borderId="0" xfId="0" applyFont="1" applyAlignment="1">
      <alignment horizontal="center"/>
    </xf>
    <xf numFmtId="1" fontId="0" fillId="0" borderId="0" xfId="0" applyNumberFormat="1" applyFill="1"/>
    <xf numFmtId="164" fontId="160" fillId="0" borderId="0" xfId="336" applyNumberFormat="1" applyFont="1" applyFill="1"/>
    <xf numFmtId="164" fontId="160" fillId="0" borderId="0" xfId="336" applyNumberFormat="1" applyFont="1" applyFill="1" applyAlignment="1">
      <alignment horizontal="right"/>
    </xf>
    <xf numFmtId="0" fontId="160" fillId="0" borderId="0" xfId="0" applyFont="1" applyFill="1"/>
    <xf numFmtId="164" fontId="160" fillId="0" borderId="0" xfId="0" applyNumberFormat="1" applyFont="1" applyFill="1"/>
    <xf numFmtId="164" fontId="135" fillId="0" borderId="0" xfId="336" applyNumberFormat="1" applyFont="1" applyFill="1" applyAlignment="1">
      <alignment horizontal="left" vertical="center"/>
    </xf>
    <xf numFmtId="164" fontId="162" fillId="0" borderId="0" xfId="336" applyNumberFormat="1" applyFont="1" applyFill="1" applyAlignment="1">
      <alignment horizontal="left" vertical="center"/>
    </xf>
    <xf numFmtId="43" fontId="124" fillId="0" borderId="0" xfId="336" applyFont="1" applyFill="1" applyBorder="1"/>
    <xf numFmtId="43" fontId="0" fillId="0" borderId="0" xfId="336" applyNumberFormat="1" applyFont="1" applyFill="1" applyBorder="1"/>
    <xf numFmtId="164" fontId="163" fillId="0" borderId="0" xfId="336" applyNumberFormat="1" applyFont="1" applyFill="1" applyBorder="1"/>
    <xf numFmtId="43" fontId="163" fillId="0" borderId="0" xfId="336" applyFont="1" applyFill="1" applyBorder="1"/>
    <xf numFmtId="164" fontId="140" fillId="0" borderId="0" xfId="336" applyNumberFormat="1" applyFont="1" applyFill="1" applyBorder="1"/>
    <xf numFmtId="0" fontId="140" fillId="0" borderId="0" xfId="0" applyFont="1" applyFill="1" applyBorder="1"/>
    <xf numFmtId="0" fontId="33" fillId="0" borderId="0" xfId="0" applyFont="1" applyAlignment="1">
      <alignment horizontal="center"/>
    </xf>
    <xf numFmtId="0" fontId="33" fillId="68" borderId="0" xfId="0" applyFont="1" applyFill="1" applyAlignment="1">
      <alignment horizontal="center"/>
    </xf>
    <xf numFmtId="0" fontId="124" fillId="0" borderId="0" xfId="336" applyNumberFormat="1" applyFont="1" applyFill="1" applyBorder="1" applyAlignment="1">
      <alignment horizontal="center"/>
    </xf>
    <xf numFmtId="43" fontId="124" fillId="0" borderId="26" xfId="336" applyFont="1" applyFill="1" applyBorder="1"/>
    <xf numFmtId="43" fontId="124" fillId="0" borderId="42" xfId="336" applyFont="1" applyFill="1" applyBorder="1"/>
    <xf numFmtId="43" fontId="31" fillId="0" borderId="0" xfId="336" applyNumberFormat="1" applyFont="1" applyFill="1" applyBorder="1"/>
    <xf numFmtId="164" fontId="153" fillId="0" borderId="0" xfId="1475" applyNumberFormat="1" applyFont="1" applyFill="1"/>
    <xf numFmtId="0" fontId="32" fillId="0" borderId="0" xfId="1475" applyNumberFormat="1" applyFont="1" applyFill="1" applyAlignment="1">
      <alignment horizontal="center"/>
    </xf>
    <xf numFmtId="164" fontId="153" fillId="0" borderId="0" xfId="336" applyNumberFormat="1" applyFont="1" applyFill="1"/>
    <xf numFmtId="164" fontId="164" fillId="0" borderId="0" xfId="336" applyNumberFormat="1" applyFont="1" applyFill="1"/>
    <xf numFmtId="0" fontId="153" fillId="0" borderId="0" xfId="1475" applyFont="1" applyFill="1"/>
    <xf numFmtId="10" fontId="32" fillId="0" borderId="0" xfId="1108" applyNumberFormat="1" applyFont="1" applyFill="1"/>
    <xf numFmtId="164" fontId="157" fillId="0" borderId="0" xfId="336" applyNumberFormat="1" applyFont="1" applyFill="1" applyAlignment="1">
      <alignment horizontal="right"/>
    </xf>
    <xf numFmtId="164" fontId="1" fillId="0" borderId="0" xfId="336" applyNumberFormat="1" applyFont="1" applyFill="1" applyBorder="1"/>
    <xf numFmtId="0" fontId="0" fillId="0" borderId="0" xfId="336" applyNumberFormat="1" applyFont="1"/>
    <xf numFmtId="0" fontId="132" fillId="0" borderId="0" xfId="0" applyFont="1" applyFill="1"/>
    <xf numFmtId="0" fontId="0" fillId="0" borderId="0" xfId="0" applyNumberFormat="1" applyFill="1"/>
    <xf numFmtId="0" fontId="0" fillId="0" borderId="0" xfId="0" quotePrefix="1" applyFill="1"/>
    <xf numFmtId="164" fontId="165" fillId="0" borderId="0" xfId="336" applyNumberFormat="1" applyFont="1" applyFill="1"/>
    <xf numFmtId="0" fontId="31" fillId="0" borderId="0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0" fontId="167" fillId="0" borderId="0" xfId="0" applyFont="1"/>
    <xf numFmtId="37" fontId="166" fillId="0" borderId="0" xfId="0" applyNumberFormat="1" applyFont="1" applyAlignment="1">
      <alignment horizontal="left"/>
    </xf>
    <xf numFmtId="37" fontId="166" fillId="0" borderId="0" xfId="0" applyNumberFormat="1" applyFont="1" applyAlignment="1">
      <alignment horizontal="center"/>
    </xf>
    <xf numFmtId="0" fontId="167" fillId="0" borderId="0" xfId="0" applyFont="1" applyAlignment="1">
      <alignment horizontal="center"/>
    </xf>
    <xf numFmtId="37" fontId="167" fillId="0" borderId="0" xfId="0" applyNumberFormat="1" applyFont="1"/>
    <xf numFmtId="0" fontId="167" fillId="0" borderId="0" xfId="0" applyFont="1" applyFill="1"/>
    <xf numFmtId="37" fontId="167" fillId="0" borderId="0" xfId="0" applyNumberFormat="1" applyFont="1" applyFill="1"/>
    <xf numFmtId="164" fontId="167" fillId="0" borderId="0" xfId="336" applyNumberFormat="1" applyFont="1" applyFill="1"/>
    <xf numFmtId="37" fontId="168" fillId="0" borderId="0" xfId="0" applyNumberFormat="1" applyFont="1" applyFill="1"/>
    <xf numFmtId="0" fontId="169" fillId="0" borderId="0" xfId="0" applyFont="1" applyFill="1"/>
    <xf numFmtId="37" fontId="169" fillId="0" borderId="0" xfId="0" applyNumberFormat="1" applyFont="1" applyFill="1"/>
    <xf numFmtId="164" fontId="167" fillId="0" borderId="0" xfId="0" applyNumberFormat="1" applyFont="1" applyFill="1"/>
    <xf numFmtId="164" fontId="167" fillId="0" borderId="0" xfId="336" applyNumberFormat="1" applyFont="1"/>
    <xf numFmtId="37" fontId="166" fillId="0" borderId="0" xfId="0" applyNumberFormat="1" applyFont="1"/>
    <xf numFmtId="0" fontId="167" fillId="0" borderId="0" xfId="0" applyFont="1" applyAlignment="1">
      <alignment horizontal="right"/>
    </xf>
    <xf numFmtId="37" fontId="170" fillId="0" borderId="0" xfId="0" applyNumberFormat="1" applyFont="1" applyFill="1"/>
    <xf numFmtId="37" fontId="167" fillId="0" borderId="0" xfId="0" applyNumberFormat="1" applyFont="1" applyFill="1" applyAlignment="1"/>
    <xf numFmtId="37" fontId="169" fillId="0" borderId="0" xfId="0" applyNumberFormat="1" applyFont="1"/>
    <xf numFmtId="37" fontId="166" fillId="0" borderId="0" xfId="0" applyNumberFormat="1" applyFont="1" applyFill="1"/>
    <xf numFmtId="164" fontId="166" fillId="0" borderId="0" xfId="336" applyNumberFormat="1" applyFont="1"/>
    <xf numFmtId="37" fontId="166" fillId="0" borderId="0" xfId="0" applyNumberFormat="1" applyFont="1" applyAlignment="1" applyProtection="1">
      <alignment horizontal="center"/>
    </xf>
    <xf numFmtId="37" fontId="166" fillId="0" borderId="0" xfId="0" applyNumberFormat="1" applyFont="1" applyFill="1" applyAlignment="1" applyProtection="1">
      <alignment horizontal="center"/>
    </xf>
    <xf numFmtId="164" fontId="166" fillId="0" borderId="0" xfId="336" applyNumberFormat="1" applyFont="1" applyAlignment="1" applyProtection="1">
      <alignment horizontal="center"/>
    </xf>
    <xf numFmtId="164" fontId="166" fillId="0" borderId="0" xfId="336" applyNumberFormat="1" applyFont="1" applyAlignment="1">
      <alignment horizontal="center"/>
    </xf>
    <xf numFmtId="164" fontId="172" fillId="0" borderId="0" xfId="336" applyNumberFormat="1" applyFont="1" applyFill="1" applyAlignment="1" applyProtection="1">
      <alignment horizontal="left" vertical="top" readingOrder="1"/>
      <protection locked="0"/>
    </xf>
    <xf numFmtId="164" fontId="166" fillId="0" borderId="0" xfId="336" applyNumberFormat="1" applyFont="1" applyFill="1" applyAlignment="1" applyProtection="1">
      <alignment horizontal="center"/>
    </xf>
    <xf numFmtId="37" fontId="166" fillId="0" borderId="0" xfId="0" applyNumberFormat="1" applyFont="1" applyAlignment="1" applyProtection="1">
      <alignment horizontal="left"/>
    </xf>
    <xf numFmtId="164" fontId="167" fillId="0" borderId="0" xfId="336" applyNumberFormat="1" applyFont="1" applyProtection="1"/>
    <xf numFmtId="37" fontId="167" fillId="0" borderId="0" xfId="0" applyNumberFormat="1" applyFont="1" applyAlignment="1">
      <alignment horizontal="center"/>
    </xf>
    <xf numFmtId="37" fontId="167" fillId="0" borderId="0" xfId="0" applyNumberFormat="1" applyFont="1" applyProtection="1"/>
    <xf numFmtId="37" fontId="167" fillId="0" borderId="0" xfId="0" applyNumberFormat="1" applyFont="1" applyFill="1" applyProtection="1"/>
    <xf numFmtId="37" fontId="167" fillId="0" borderId="0" xfId="336" applyNumberFormat="1" applyFont="1" applyFill="1" applyProtection="1"/>
    <xf numFmtId="187" fontId="166" fillId="0" borderId="0" xfId="0" applyNumberFormat="1" applyFont="1" applyAlignment="1" applyProtection="1">
      <alignment horizontal="center"/>
    </xf>
    <xf numFmtId="37" fontId="167" fillId="0" borderId="0" xfId="0" applyNumberFormat="1" applyFont="1" applyAlignment="1" applyProtection="1"/>
    <xf numFmtId="187" fontId="167" fillId="0" borderId="0" xfId="0" applyNumberFormat="1" applyFont="1"/>
    <xf numFmtId="164" fontId="166" fillId="0" borderId="0" xfId="336" applyNumberFormat="1" applyFont="1" applyAlignment="1" applyProtection="1">
      <alignment horizontal="left"/>
    </xf>
    <xf numFmtId="187" fontId="166" fillId="0" borderId="0" xfId="0" applyNumberFormat="1" applyFont="1" applyAlignment="1">
      <alignment horizontal="center"/>
    </xf>
    <xf numFmtId="164" fontId="167" fillId="0" borderId="0" xfId="336" applyNumberFormat="1" applyFont="1" applyFill="1">
      <alignment readingOrder="1"/>
    </xf>
    <xf numFmtId="164" fontId="167" fillId="0" borderId="0" xfId="336" applyNumberFormat="1" applyFont="1" applyFill="1" applyProtection="1"/>
    <xf numFmtId="43" fontId="167" fillId="0" borderId="0" xfId="336" applyNumberFormat="1" applyFont="1"/>
    <xf numFmtId="164" fontId="167" fillId="0" borderId="0" xfId="336" applyNumberFormat="1" applyFont="1" applyFill="1" applyAlignment="1" applyProtection="1">
      <alignment horizontal="right" vertical="top" wrapText="1" readingOrder="1"/>
      <protection locked="0"/>
    </xf>
    <xf numFmtId="164" fontId="167" fillId="0" borderId="0" xfId="336" applyNumberFormat="1" applyFont="1">
      <alignment readingOrder="1"/>
    </xf>
    <xf numFmtId="187" fontId="166" fillId="0" borderId="0" xfId="0" applyNumberFormat="1" applyFont="1" applyAlignment="1" applyProtection="1">
      <alignment horizontal="left"/>
    </xf>
    <xf numFmtId="43" fontId="167" fillId="0" borderId="0" xfId="336" applyNumberFormat="1" applyFont="1" applyFill="1">
      <alignment readingOrder="1"/>
    </xf>
    <xf numFmtId="43" fontId="167" fillId="0" borderId="0" xfId="336" applyNumberFormat="1" applyFont="1" applyFill="1" applyProtection="1"/>
    <xf numFmtId="37" fontId="167" fillId="0" borderId="0" xfId="0" quotePrefix="1" applyNumberFormat="1" applyFont="1" applyFill="1" applyProtection="1"/>
    <xf numFmtId="164" fontId="173" fillId="0" borderId="0" xfId="336" applyNumberFormat="1" applyFont="1" applyFill="1" applyProtection="1"/>
    <xf numFmtId="164" fontId="168" fillId="0" borderId="0" xfId="336" applyNumberFormat="1" applyFont="1">
      <alignment readingOrder="1"/>
    </xf>
    <xf numFmtId="37" fontId="167" fillId="0" borderId="0" xfId="0" quotePrefix="1" applyNumberFormat="1" applyFont="1" applyProtection="1"/>
    <xf numFmtId="37" fontId="167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 applyProtection="1">
      <alignment horizontal="left"/>
    </xf>
    <xf numFmtId="0" fontId="166" fillId="0" borderId="0" xfId="0" applyFont="1" applyAlignment="1"/>
    <xf numFmtId="0" fontId="166" fillId="0" borderId="0" xfId="0" applyFont="1" applyFill="1" applyAlignment="1">
      <alignment horizontal="center"/>
    </xf>
    <xf numFmtId="37" fontId="166" fillId="0" borderId="0" xfId="0" applyNumberFormat="1" applyFont="1" applyFill="1" applyAlignment="1">
      <alignment horizontal="center"/>
    </xf>
    <xf numFmtId="37" fontId="167" fillId="0" borderId="0" xfId="0" applyNumberFormat="1" applyFont="1" applyFill="1" applyAlignment="1">
      <alignment horizontal="center"/>
    </xf>
    <xf numFmtId="0" fontId="167" fillId="0" borderId="0" xfId="0" applyFont="1" applyFill="1" applyAlignment="1">
      <alignment horizontal="center"/>
    </xf>
    <xf numFmtId="37" fontId="167" fillId="0" borderId="0" xfId="0" applyNumberFormat="1" applyFont="1" applyFill="1" applyAlignment="1">
      <alignment horizontal="right"/>
    </xf>
    <xf numFmtId="0" fontId="166" fillId="0" borderId="0" xfId="0" applyFont="1"/>
    <xf numFmtId="37" fontId="167" fillId="0" borderId="0" xfId="0" applyNumberFormat="1" applyFont="1" applyAlignment="1"/>
    <xf numFmtId="37" fontId="167" fillId="0" borderId="0" xfId="0" applyNumberFormat="1" applyFont="1" applyAlignment="1">
      <alignment horizontal="right"/>
    </xf>
    <xf numFmtId="37" fontId="167" fillId="0" borderId="0" xfId="336" applyNumberFormat="1" applyFont="1" applyProtection="1"/>
    <xf numFmtId="39" fontId="167" fillId="0" borderId="0" xfId="0" applyNumberFormat="1" applyFont="1"/>
    <xf numFmtId="3" fontId="167" fillId="0" borderId="0" xfId="0" applyNumberFormat="1" applyFont="1"/>
    <xf numFmtId="10" fontId="130" fillId="0" borderId="0" xfId="1108" applyNumberFormat="1" applyFont="1" applyFill="1"/>
    <xf numFmtId="37" fontId="166" fillId="0" borderId="0" xfId="0" applyNumberFormat="1" applyFont="1" applyFill="1" applyAlignment="1">
      <alignment horizontal="left"/>
    </xf>
    <xf numFmtId="0" fontId="167" fillId="0" borderId="0" xfId="0" applyFont="1" applyFill="1" applyAlignment="1">
      <alignment horizontal="right"/>
    </xf>
    <xf numFmtId="191" fontId="167" fillId="0" borderId="0" xfId="0" applyNumberFormat="1" applyFont="1" applyFill="1"/>
    <xf numFmtId="164" fontId="171" fillId="0" borderId="0" xfId="336" applyNumberFormat="1" applyFont="1" applyFill="1"/>
    <xf numFmtId="164" fontId="171" fillId="0" borderId="0" xfId="336" applyNumberFormat="1" applyFont="1" applyFill="1" applyAlignment="1">
      <alignment horizontal="right"/>
    </xf>
    <xf numFmtId="164" fontId="155" fillId="0" borderId="0" xfId="336" applyNumberFormat="1" applyFont="1" applyFill="1" applyAlignment="1">
      <alignment horizontal="right"/>
    </xf>
    <xf numFmtId="0" fontId="155" fillId="0" borderId="0" xfId="1475" applyFont="1" applyFill="1"/>
    <xf numFmtId="10" fontId="154" fillId="0" borderId="0" xfId="1108" applyNumberFormat="1" applyFont="1" applyFill="1"/>
    <xf numFmtId="10" fontId="158" fillId="0" borderId="0" xfId="1108" applyNumberFormat="1" applyFont="1" applyFill="1"/>
    <xf numFmtId="0" fontId="154" fillId="0" borderId="0" xfId="1475" applyFont="1" applyFill="1" applyAlignment="1">
      <alignment horizontal="right"/>
    </xf>
    <xf numFmtId="0" fontId="154" fillId="0" borderId="0" xfId="1484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indent="1"/>
    </xf>
    <xf numFmtId="14" fontId="0" fillId="0" borderId="0" xfId="0" applyNumberFormat="1" applyFill="1" applyAlignment="1">
      <alignment horizontal="right" indent="1"/>
    </xf>
    <xf numFmtId="0" fontId="132" fillId="0" borderId="0" xfId="0" applyFont="1" applyFill="1" applyBorder="1"/>
    <xf numFmtId="9" fontId="0" fillId="0" borderId="0" xfId="1108" applyFont="1" applyFill="1" applyBorder="1"/>
    <xf numFmtId="0" fontId="163" fillId="0" borderId="0" xfId="336" applyNumberFormat="1" applyFont="1" applyFill="1" applyBorder="1" applyAlignment="1">
      <alignment horizontal="center"/>
    </xf>
    <xf numFmtId="43" fontId="140" fillId="0" borderId="0" xfId="336" applyNumberFormat="1" applyFont="1" applyFill="1" applyBorder="1"/>
    <xf numFmtId="0" fontId="5" fillId="0" borderId="0" xfId="0" applyFont="1" applyFill="1" applyBorder="1"/>
    <xf numFmtId="164" fontId="5" fillId="0" borderId="0" xfId="336" applyNumberFormat="1" applyFont="1" applyFill="1" applyBorder="1"/>
    <xf numFmtId="164" fontId="144" fillId="0" borderId="0" xfId="336" applyNumberFormat="1" applyFont="1" applyFill="1" applyBorder="1"/>
    <xf numFmtId="0" fontId="144" fillId="0" borderId="0" xfId="0" applyFont="1" applyFill="1" applyBorder="1"/>
    <xf numFmtId="164" fontId="33" fillId="0" borderId="0" xfId="336" applyNumberFormat="1" applyFont="1" applyFill="1" applyBorder="1"/>
    <xf numFmtId="0" fontId="33" fillId="0" borderId="0" xfId="0" applyFont="1" applyFill="1" applyBorder="1"/>
    <xf numFmtId="0" fontId="0" fillId="0" borderId="26" xfId="0" applyFont="1" applyFill="1" applyBorder="1"/>
    <xf numFmtId="43" fontId="0" fillId="0" borderId="0" xfId="336" applyFont="1" applyFill="1" applyBorder="1"/>
    <xf numFmtId="43" fontId="140" fillId="0" borderId="0" xfId="336" applyFont="1" applyFill="1" applyBorder="1"/>
    <xf numFmtId="164" fontId="144" fillId="0" borderId="0" xfId="336" applyNumberFormat="1" applyFont="1" applyFill="1"/>
    <xf numFmtId="43" fontId="0" fillId="0" borderId="0" xfId="336" applyFont="1" applyFill="1"/>
    <xf numFmtId="0" fontId="144" fillId="0" borderId="0" xfId="0" applyFont="1" applyFill="1"/>
    <xf numFmtId="164" fontId="41" fillId="0" borderId="23" xfId="1486" applyNumberFormat="1" applyFont="1" applyFill="1" applyBorder="1"/>
    <xf numFmtId="164" fontId="41" fillId="0" borderId="43" xfId="1486" applyNumberFormat="1" applyFont="1" applyFill="1" applyBorder="1"/>
    <xf numFmtId="0" fontId="174" fillId="0" borderId="0" xfId="0" applyFont="1" applyFill="1" applyAlignment="1"/>
    <xf numFmtId="0" fontId="145" fillId="0" borderId="30" xfId="0" applyFont="1" applyFill="1" applyBorder="1"/>
    <xf numFmtId="0" fontId="145" fillId="0" borderId="0" xfId="0" applyFont="1" applyFill="1" applyBorder="1" applyAlignment="1">
      <alignment horizontal="left"/>
    </xf>
    <xf numFmtId="164" fontId="145" fillId="0" borderId="0" xfId="336" applyNumberFormat="1" applyFont="1" applyFill="1" applyBorder="1"/>
    <xf numFmtId="0" fontId="136" fillId="0" borderId="0" xfId="0" applyFont="1" applyFill="1"/>
    <xf numFmtId="0" fontId="175" fillId="0" borderId="0" xfId="0" applyFont="1" applyFill="1" applyBorder="1"/>
    <xf numFmtId="0" fontId="136" fillId="0" borderId="0" xfId="0" applyFont="1" applyFill="1" applyBorder="1"/>
    <xf numFmtId="164" fontId="146" fillId="0" borderId="0" xfId="336" applyNumberFormat="1" applyFont="1" applyFill="1" applyAlignment="1">
      <alignment horizontal="left" vertical="center"/>
    </xf>
    <xf numFmtId="43" fontId="0" fillId="0" borderId="0" xfId="336" applyNumberFormat="1" applyFont="1" applyFill="1"/>
    <xf numFmtId="164" fontId="159" fillId="0" borderId="0" xfId="336" applyNumberFormat="1" applyFont="1" applyFill="1" applyAlignment="1">
      <alignment horizontal="left" vertical="center"/>
    </xf>
    <xf numFmtId="164" fontId="161" fillId="0" borderId="0" xfId="336" applyNumberFormat="1" applyFont="1" applyFill="1" applyAlignment="1">
      <alignment horizontal="left" vertical="center"/>
    </xf>
    <xf numFmtId="164" fontId="154" fillId="0" borderId="0" xfId="336" applyNumberFormat="1" applyFont="1" applyFill="1" applyBorder="1"/>
    <xf numFmtId="164" fontId="153" fillId="0" borderId="0" xfId="336" applyNumberFormat="1" applyFont="1" applyFill="1" applyBorder="1"/>
    <xf numFmtId="0" fontId="5" fillId="0" borderId="0" xfId="0" applyFont="1" applyFill="1" applyAlignment="1">
      <alignment wrapText="1"/>
    </xf>
    <xf numFmtId="164" fontId="144" fillId="0" borderId="0" xfId="0" applyNumberFormat="1" applyFont="1" applyFill="1"/>
    <xf numFmtId="43" fontId="0" fillId="0" borderId="0" xfId="0" applyNumberFormat="1" applyFill="1"/>
    <xf numFmtId="164" fontId="0" fillId="0" borderId="0" xfId="336" applyNumberFormat="1" applyFont="1" applyFill="1" applyAlignment="1">
      <alignment horizontal="right"/>
    </xf>
    <xf numFmtId="0" fontId="3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horizontal="center"/>
    </xf>
    <xf numFmtId="164" fontId="34" fillId="0" borderId="0" xfId="336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0" fontId="0" fillId="0" borderId="0" xfId="1108" applyNumberFormat="1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37" fontId="0" fillId="0" borderId="0" xfId="0" applyNumberFormat="1" applyFill="1" applyAlignment="1">
      <alignment horizontal="left"/>
    </xf>
    <xf numFmtId="37" fontId="33" fillId="0" borderId="0" xfId="0" applyNumberFormat="1" applyFont="1" applyFill="1" applyAlignment="1">
      <alignment horizontal="center"/>
    </xf>
    <xf numFmtId="37" fontId="140" fillId="0" borderId="0" xfId="0" applyNumberFormat="1" applyFont="1" applyFill="1"/>
    <xf numFmtId="0" fontId="0" fillId="0" borderId="0" xfId="0" quotePrefix="1" applyFill="1" applyAlignment="1">
      <alignment horizontal="left"/>
    </xf>
    <xf numFmtId="167" fontId="5" fillId="0" borderId="0" xfId="1108" applyNumberFormat="1" applyFill="1"/>
    <xf numFmtId="166" fontId="34" fillId="0" borderId="0" xfId="1108" applyNumberFormat="1" applyFont="1" applyFill="1"/>
    <xf numFmtId="37" fontId="5" fillId="0" borderId="0" xfId="336" applyNumberFormat="1" applyFill="1"/>
    <xf numFmtId="37" fontId="34" fillId="0" borderId="0" xfId="336" applyNumberFormat="1" applyFont="1" applyFill="1"/>
    <xf numFmtId="37" fontId="33" fillId="0" borderId="0" xfId="0" quotePrefix="1" applyNumberFormat="1" applyFont="1" applyFill="1" applyAlignment="1">
      <alignment horizontal="center"/>
    </xf>
    <xf numFmtId="0" fontId="33" fillId="0" borderId="0" xfId="0" applyFont="1" applyFill="1" applyAlignment="1"/>
    <xf numFmtId="164" fontId="5" fillId="0" borderId="0" xfId="340" quotePrefix="1" applyNumberFormat="1" applyFont="1" applyFill="1"/>
    <xf numFmtId="164" fontId="34" fillId="0" borderId="0" xfId="340" applyNumberFormat="1" applyFont="1" applyFill="1"/>
    <xf numFmtId="10" fontId="34" fillId="0" borderId="0" xfId="1110" applyNumberFormat="1" applyFill="1"/>
    <xf numFmtId="164" fontId="33" fillId="0" borderId="0" xfId="340" applyNumberFormat="1" applyFont="1" applyFill="1"/>
    <xf numFmtId="37" fontId="34" fillId="0" borderId="0" xfId="340" applyNumberFormat="1" applyFill="1"/>
    <xf numFmtId="37" fontId="33" fillId="0" borderId="0" xfId="340" applyNumberFormat="1" applyFont="1" applyFill="1"/>
    <xf numFmtId="10" fontId="34" fillId="0" borderId="0" xfId="1110" applyNumberFormat="1" applyFont="1" applyFill="1"/>
    <xf numFmtId="37" fontId="34" fillId="0" borderId="0" xfId="340" applyNumberFormat="1" applyFont="1" applyFill="1"/>
    <xf numFmtId="0" fontId="34" fillId="0" borderId="0" xfId="0" quotePrefix="1" applyFont="1" applyFill="1" applyAlignment="1">
      <alignment horizontal="left"/>
    </xf>
    <xf numFmtId="164" fontId="5" fillId="0" borderId="0" xfId="336" applyNumberFormat="1" applyFont="1" applyFill="1" applyAlignment="1">
      <alignment horizontal="right"/>
    </xf>
    <xf numFmtId="0" fontId="0" fillId="0" borderId="0" xfId="0" applyFill="1" applyBorder="1" applyAlignment="1">
      <alignment horizontal="left"/>
    </xf>
    <xf numFmtId="37" fontId="0" fillId="0" borderId="0" xfId="0" applyNumberFormat="1" applyFill="1" applyAlignment="1">
      <alignment horizontal="right"/>
    </xf>
    <xf numFmtId="0" fontId="133" fillId="0" borderId="0" xfId="0" applyFont="1" applyFill="1"/>
    <xf numFmtId="4" fontId="0" fillId="0" borderId="0" xfId="0" applyNumberFormat="1" applyFill="1"/>
    <xf numFmtId="0" fontId="124" fillId="0" borderId="0" xfId="0" applyFont="1" applyFill="1"/>
    <xf numFmtId="0" fontId="33" fillId="0" borderId="0" xfId="0" applyFont="1" applyFill="1" applyAlignment="1">
      <alignment horizontal="left"/>
    </xf>
    <xf numFmtId="14" fontId="33" fillId="0" borderId="0" xfId="0" applyNumberFormat="1" applyFont="1" applyFill="1" applyAlignment="1">
      <alignment horizontal="left"/>
    </xf>
    <xf numFmtId="14" fontId="33" fillId="0" borderId="0" xfId="0" applyNumberFormat="1" applyFont="1" applyFill="1" applyAlignment="1">
      <alignment horizontal="center"/>
    </xf>
    <xf numFmtId="6" fontId="0" fillId="0" borderId="0" xfId="0" applyNumberFormat="1" applyFill="1"/>
    <xf numFmtId="0" fontId="166" fillId="0" borderId="0" xfId="0" applyFont="1" applyFill="1" applyAlignment="1">
      <alignment horizontal="center"/>
    </xf>
    <xf numFmtId="0" fontId="166" fillId="0" borderId="0" xfId="0" applyFont="1" applyAlignment="1">
      <alignment horizontal="center"/>
    </xf>
    <xf numFmtId="37" fontId="167" fillId="0" borderId="0" xfId="0" applyNumberFormat="1" applyFont="1" applyAlignment="1" applyProtection="1">
      <alignment horizontal="left" wrapText="1"/>
    </xf>
    <xf numFmtId="0" fontId="33" fillId="0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3" fillId="68" borderId="0" xfId="0" quotePrefix="1" applyFont="1" applyFill="1" applyAlignment="1">
      <alignment horizontal="center"/>
    </xf>
    <xf numFmtId="0" fontId="33" fillId="68" borderId="0" xfId="0" applyFont="1" applyFill="1" applyAlignment="1">
      <alignment horizontal="center"/>
    </xf>
    <xf numFmtId="37" fontId="0" fillId="0" borderId="0" xfId="0" applyNumberFormat="1" applyFill="1" applyBorder="1"/>
    <xf numFmtId="167" fontId="0" fillId="0" borderId="0" xfId="1108" applyNumberFormat="1" applyFont="1" applyFill="1" applyBorder="1"/>
    <xf numFmtId="0" fontId="148" fillId="0" borderId="0" xfId="0" applyFont="1" applyFill="1" applyBorder="1"/>
    <xf numFmtId="37" fontId="33" fillId="0" borderId="0" xfId="0" applyNumberFormat="1" applyFont="1" applyFill="1" applyBorder="1"/>
    <xf numFmtId="37" fontId="148" fillId="0" borderId="0" xfId="0" applyNumberFormat="1" applyFont="1" applyFill="1" applyBorder="1"/>
    <xf numFmtId="10" fontId="0" fillId="0" borderId="0" xfId="1108" applyNumberFormat="1" applyFont="1" applyFill="1" applyBorder="1"/>
    <xf numFmtId="9" fontId="0" fillId="0" borderId="0" xfId="0" applyNumberFormat="1" applyFill="1" applyBorder="1"/>
    <xf numFmtId="0" fontId="126" fillId="0" borderId="0" xfId="0" applyFont="1" applyFill="1" applyBorder="1"/>
    <xf numFmtId="0" fontId="0" fillId="0" borderId="0" xfId="0" applyFill="1" applyBorder="1" applyAlignment="1">
      <alignment horizontal="right"/>
    </xf>
    <xf numFmtId="164" fontId="5" fillId="0" borderId="0" xfId="336" quotePrefix="1" applyNumberFormat="1" applyFont="1" applyFill="1" applyBorder="1"/>
    <xf numFmtId="164" fontId="0" fillId="0" borderId="0" xfId="0" applyNumberFormat="1" applyFill="1" applyBorder="1"/>
  </cellXfs>
  <cellStyles count="1488">
    <cellStyle name="_%(SignOnly)" xfId="1"/>
    <cellStyle name="_%(SignSpaceOnly)" xfId="2"/>
    <cellStyle name="_Chelan Debt Forecast 12.19.05" xfId="3"/>
    <cellStyle name="_Comma" xfId="4"/>
    <cellStyle name="_Costs not in AURORA 06GRC" xfId="5"/>
    <cellStyle name="_Costs not in KWI3000 '06Budget" xfId="6"/>
    <cellStyle name="_Currency" xfId="7"/>
    <cellStyle name="_CurrencySpace" xfId="8"/>
    <cellStyle name="_Euro" xfId="9"/>
    <cellStyle name="_Fuel Prices 4-14" xfId="10"/>
    <cellStyle name="_Heading" xfId="11"/>
    <cellStyle name="_Highlight" xfId="12"/>
    <cellStyle name="_Multiple" xfId="13"/>
    <cellStyle name="_MultipleSpace" xfId="14"/>
    <cellStyle name="_Power Cost Value Copy 11.30.05 gas 1.09.06 AURORA at 1.10.06" xfId="15"/>
    <cellStyle name="_Recon to Darrin's 5.11.05 proforma" xfId="16"/>
    <cellStyle name="_SubHeading" xfId="17"/>
    <cellStyle name="_Table" xfId="18"/>
    <cellStyle name="_Table_QC" xfId="19"/>
    <cellStyle name="_TableHead" xfId="20"/>
    <cellStyle name="_TableHead_QC" xfId="21"/>
    <cellStyle name="_TableRowHead" xfId="22"/>
    <cellStyle name="_TableSuperHead" xfId="23"/>
    <cellStyle name="_Value Copy 11 30 05 gas 12 09 05 AURORA at 12 14 05" xfId="24"/>
    <cellStyle name="20% - Accent1" xfId="25" builtinId="30" customBuiltin="1"/>
    <cellStyle name="20% - Accent1 2" xfId="26"/>
    <cellStyle name="20% - Accent1 2 2" xfId="27"/>
    <cellStyle name="20% - Accent1 2 2 2" xfId="28"/>
    <cellStyle name="20% - Accent1 2 2 3" xfId="29"/>
    <cellStyle name="20% - Accent1 2 2 4" xfId="30"/>
    <cellStyle name="20% - Accent1 2 3" xfId="31"/>
    <cellStyle name="20% - Accent1 2 4" xfId="32"/>
    <cellStyle name="20% - Accent1 2 5" xfId="33"/>
    <cellStyle name="20% - Accent1 2_QC Sheet" xfId="34"/>
    <cellStyle name="20% - Accent1 3" xfId="35"/>
    <cellStyle name="20% - Accent1 4" xfId="36"/>
    <cellStyle name="20% - Accent2" xfId="37" builtinId="34" customBuiltin="1"/>
    <cellStyle name="20% - Accent2 2" xfId="38"/>
    <cellStyle name="20% - Accent2 2 2" xfId="39"/>
    <cellStyle name="20% - Accent2 2 2 2" xfId="40"/>
    <cellStyle name="20% - Accent2 2 2 3" xfId="41"/>
    <cellStyle name="20% - Accent2 2 2 4" xfId="42"/>
    <cellStyle name="20% - Accent2 2 3" xfId="43"/>
    <cellStyle name="20% - Accent2 2 4" xfId="44"/>
    <cellStyle name="20% - Accent2 2 5" xfId="45"/>
    <cellStyle name="20% - Accent2 2_QC Sheet" xfId="46"/>
    <cellStyle name="20% - Accent2 3" xfId="47"/>
    <cellStyle name="20% - Accent2 4" xfId="48"/>
    <cellStyle name="20% - Accent3" xfId="49" builtinId="38" customBuiltin="1"/>
    <cellStyle name="20% - Accent3 2" xfId="50"/>
    <cellStyle name="20% - Accent3 2 2" xfId="51"/>
    <cellStyle name="20% - Accent3 2 2 2" xfId="52"/>
    <cellStyle name="20% - Accent3 2 2 3" xfId="53"/>
    <cellStyle name="20% - Accent3 2 2 4" xfId="54"/>
    <cellStyle name="20% - Accent3 2 3" xfId="55"/>
    <cellStyle name="20% - Accent3 2 4" xfId="56"/>
    <cellStyle name="20% - Accent3 2 5" xfId="57"/>
    <cellStyle name="20% - Accent3 2_QC Sheet" xfId="58"/>
    <cellStyle name="20% - Accent3 3" xfId="59"/>
    <cellStyle name="20% - Accent3 4" xfId="60"/>
    <cellStyle name="20% - Accent4" xfId="61" builtinId="42" customBuiltin="1"/>
    <cellStyle name="20% - Accent4 2" xfId="62"/>
    <cellStyle name="20% - Accent4 2 2" xfId="63"/>
    <cellStyle name="20% - Accent4 2 2 2" xfId="64"/>
    <cellStyle name="20% - Accent4 2 2 3" xfId="65"/>
    <cellStyle name="20% - Accent4 2 2 4" xfId="66"/>
    <cellStyle name="20% - Accent4 2 3" xfId="67"/>
    <cellStyle name="20% - Accent4 2 4" xfId="68"/>
    <cellStyle name="20% - Accent4 2 5" xfId="69"/>
    <cellStyle name="20% - Accent4 2_QC Sheet" xfId="70"/>
    <cellStyle name="20% - Accent4 3" xfId="71"/>
    <cellStyle name="20% - Accent4 4" xfId="72"/>
    <cellStyle name="20% - Accent5" xfId="73" builtinId="46" customBuiltin="1"/>
    <cellStyle name="20% - Accent5 2" xfId="74"/>
    <cellStyle name="20% - Accent5 2 2" xfId="75"/>
    <cellStyle name="20% - Accent5 2 2 2" xfId="76"/>
    <cellStyle name="20% - Accent5 2 2 3" xfId="77"/>
    <cellStyle name="20% - Accent5 2 2 4" xfId="78"/>
    <cellStyle name="20% - Accent5 2 3" xfId="79"/>
    <cellStyle name="20% - Accent5 2 4" xfId="80"/>
    <cellStyle name="20% - Accent5 2 5" xfId="81"/>
    <cellStyle name="20% - Accent5 2_QC Sheet" xfId="82"/>
    <cellStyle name="20% - Accent5 3" xfId="83"/>
    <cellStyle name="20% - Accent5 4" xfId="84"/>
    <cellStyle name="20% - Accent6" xfId="85" builtinId="50" customBuiltin="1"/>
    <cellStyle name="20% - Accent6 2" xfId="86"/>
    <cellStyle name="20% - Accent6 2 2" xfId="87"/>
    <cellStyle name="20% - Accent6 2 2 2" xfId="88"/>
    <cellStyle name="20% - Accent6 2 2 3" xfId="89"/>
    <cellStyle name="20% - Accent6 2 2 4" xfId="90"/>
    <cellStyle name="20% - Accent6 2 3" xfId="91"/>
    <cellStyle name="20% - Accent6 2 4" xfId="92"/>
    <cellStyle name="20% - Accent6 2 5" xfId="93"/>
    <cellStyle name="20% - Accent6 2_QC Sheet" xfId="94"/>
    <cellStyle name="20% - Accent6 3" xfId="95"/>
    <cellStyle name="20% - Accent6 4" xfId="96"/>
    <cellStyle name="40% - Accent1" xfId="97" builtinId="31" customBuiltin="1"/>
    <cellStyle name="40% - Accent1 2" xfId="98"/>
    <cellStyle name="40% - Accent1 2 2" xfId="99"/>
    <cellStyle name="40% - Accent1 2 2 2" xfId="100"/>
    <cellStyle name="40% - Accent1 2 2 3" xfId="101"/>
    <cellStyle name="40% - Accent1 2 2 4" xfId="102"/>
    <cellStyle name="40% - Accent1 2 3" xfId="103"/>
    <cellStyle name="40% - Accent1 2 4" xfId="104"/>
    <cellStyle name="40% - Accent1 2 5" xfId="105"/>
    <cellStyle name="40% - Accent1 2_QC Sheet" xfId="106"/>
    <cellStyle name="40% - Accent1 3" xfId="107"/>
    <cellStyle name="40% - Accent1 4" xfId="108"/>
    <cellStyle name="40% - Accent2" xfId="109" builtinId="35" customBuiltin="1"/>
    <cellStyle name="40% - Accent2 2" xfId="110"/>
    <cellStyle name="40% - Accent2 2 2" xfId="111"/>
    <cellStyle name="40% - Accent2 2 2 2" xfId="112"/>
    <cellStyle name="40% - Accent2 2 2 3" xfId="113"/>
    <cellStyle name="40% - Accent2 2 2 4" xfId="114"/>
    <cellStyle name="40% - Accent2 2 3" xfId="115"/>
    <cellStyle name="40% - Accent2 2 4" xfId="116"/>
    <cellStyle name="40% - Accent2 2 5" xfId="117"/>
    <cellStyle name="40% - Accent2 2_QC Sheet" xfId="118"/>
    <cellStyle name="40% - Accent2 3" xfId="119"/>
    <cellStyle name="40% - Accent2 4" xfId="120"/>
    <cellStyle name="40% - Accent3" xfId="121" builtinId="39" customBuiltin="1"/>
    <cellStyle name="40% - Accent3 2" xfId="122"/>
    <cellStyle name="40% - Accent3 2 2" xfId="123"/>
    <cellStyle name="40% - Accent3 2 2 2" xfId="124"/>
    <cellStyle name="40% - Accent3 2 2 3" xfId="125"/>
    <cellStyle name="40% - Accent3 2 2 4" xfId="126"/>
    <cellStyle name="40% - Accent3 2 3" xfId="127"/>
    <cellStyle name="40% - Accent3 2 4" xfId="128"/>
    <cellStyle name="40% - Accent3 2 5" xfId="129"/>
    <cellStyle name="40% - Accent3 2_QC Sheet" xfId="130"/>
    <cellStyle name="40% - Accent3 3" xfId="131"/>
    <cellStyle name="40% - Accent3 4" xfId="132"/>
    <cellStyle name="40% - Accent4" xfId="133" builtinId="43" customBuiltin="1"/>
    <cellStyle name="40% - Accent4 2" xfId="134"/>
    <cellStyle name="40% - Accent4 2 2" xfId="135"/>
    <cellStyle name="40% - Accent4 2 2 2" xfId="136"/>
    <cellStyle name="40% - Accent4 2 2 3" xfId="137"/>
    <cellStyle name="40% - Accent4 2 2 4" xfId="138"/>
    <cellStyle name="40% - Accent4 2 3" xfId="139"/>
    <cellStyle name="40% - Accent4 2 4" xfId="140"/>
    <cellStyle name="40% - Accent4 2 5" xfId="141"/>
    <cellStyle name="40% - Accent4 2_QC Sheet" xfId="142"/>
    <cellStyle name="40% - Accent4 3" xfId="143"/>
    <cellStyle name="40% - Accent4 4" xfId="144"/>
    <cellStyle name="40% - Accent5" xfId="145" builtinId="47" customBuiltin="1"/>
    <cellStyle name="40% - Accent5 2" xfId="146"/>
    <cellStyle name="40% - Accent5 2 2" xfId="147"/>
    <cellStyle name="40% - Accent5 2 2 2" xfId="148"/>
    <cellStyle name="40% - Accent5 2 2 3" xfId="149"/>
    <cellStyle name="40% - Accent5 2 2 4" xfId="150"/>
    <cellStyle name="40% - Accent5 2 3" xfId="151"/>
    <cellStyle name="40% - Accent5 2 4" xfId="152"/>
    <cellStyle name="40% - Accent5 2 5" xfId="153"/>
    <cellStyle name="40% - Accent5 2_QC Sheet" xfId="154"/>
    <cellStyle name="40% - Accent5 3" xfId="155"/>
    <cellStyle name="40% - Accent5 4" xfId="156"/>
    <cellStyle name="40% - Accent6" xfId="157" builtinId="51" customBuiltin="1"/>
    <cellStyle name="40% - Accent6 2" xfId="158"/>
    <cellStyle name="40% - Accent6 2 2" xfId="159"/>
    <cellStyle name="40% - Accent6 2 2 2" xfId="160"/>
    <cellStyle name="40% - Accent6 2 2 3" xfId="161"/>
    <cellStyle name="40% - Accent6 2 2 4" xfId="162"/>
    <cellStyle name="40% - Accent6 2 3" xfId="163"/>
    <cellStyle name="40% - Accent6 2 4" xfId="164"/>
    <cellStyle name="40% - Accent6 2 5" xfId="165"/>
    <cellStyle name="40% - Accent6 2_QC Sheet" xfId="166"/>
    <cellStyle name="40% - Accent6 3" xfId="167"/>
    <cellStyle name="40% - Accent6 4" xfId="168"/>
    <cellStyle name="60% - Accent1" xfId="169" builtinId="32" customBuiltin="1"/>
    <cellStyle name="60% - Accent1 2" xfId="170"/>
    <cellStyle name="60% - Accent1 2 2" xfId="171"/>
    <cellStyle name="60% - Accent1 2 2 2" xfId="172"/>
    <cellStyle name="60% - Accent1 2 2 3" xfId="173"/>
    <cellStyle name="60% - Accent1 2 2 4" xfId="174"/>
    <cellStyle name="60% - Accent1 2 3" xfId="175"/>
    <cellStyle name="60% - Accent1 2 4" xfId="176"/>
    <cellStyle name="60% - Accent1 2_QC Sheet" xfId="177"/>
    <cellStyle name="60% - Accent1 3" xfId="178"/>
    <cellStyle name="60% - Accent1 4" xfId="179"/>
    <cellStyle name="60% - Accent2" xfId="180" builtinId="36" customBuiltin="1"/>
    <cellStyle name="60% - Accent2 2" xfId="181"/>
    <cellStyle name="60% - Accent2 2 2" xfId="182"/>
    <cellStyle name="60% - Accent2 2 2 2" xfId="183"/>
    <cellStyle name="60% - Accent2 2 2 3" xfId="184"/>
    <cellStyle name="60% - Accent2 2 2 4" xfId="185"/>
    <cellStyle name="60% - Accent2 2 3" xfId="186"/>
    <cellStyle name="60% - Accent2 2 4" xfId="187"/>
    <cellStyle name="60% - Accent2 2_QC Sheet" xfId="188"/>
    <cellStyle name="60% - Accent2 3" xfId="189"/>
    <cellStyle name="60% - Accent2 4" xfId="190"/>
    <cellStyle name="60% - Accent3" xfId="191" builtinId="40" customBuiltin="1"/>
    <cellStyle name="60% - Accent3 2" xfId="192"/>
    <cellStyle name="60% - Accent3 2 2" xfId="193"/>
    <cellStyle name="60% - Accent3 2 2 2" xfId="194"/>
    <cellStyle name="60% - Accent3 2 2 3" xfId="195"/>
    <cellStyle name="60% - Accent3 2 2 4" xfId="196"/>
    <cellStyle name="60% - Accent3 2 3" xfId="197"/>
    <cellStyle name="60% - Accent3 2 4" xfId="198"/>
    <cellStyle name="60% - Accent3 2_QC Sheet" xfId="199"/>
    <cellStyle name="60% - Accent3 3" xfId="200"/>
    <cellStyle name="60% - Accent3 4" xfId="201"/>
    <cellStyle name="60% - Accent4" xfId="202" builtinId="44" customBuiltin="1"/>
    <cellStyle name="60% - Accent4 2" xfId="203"/>
    <cellStyle name="60% - Accent4 2 2" xfId="204"/>
    <cellStyle name="60% - Accent4 2 2 2" xfId="205"/>
    <cellStyle name="60% - Accent4 2 2 3" xfId="206"/>
    <cellStyle name="60% - Accent4 2 2 4" xfId="207"/>
    <cellStyle name="60% - Accent4 2 3" xfId="208"/>
    <cellStyle name="60% - Accent4 2 4" xfId="209"/>
    <cellStyle name="60% - Accent4 2_QC Sheet" xfId="210"/>
    <cellStyle name="60% - Accent4 3" xfId="211"/>
    <cellStyle name="60% - Accent4 4" xfId="212"/>
    <cellStyle name="60% - Accent5" xfId="213" builtinId="48" customBuiltin="1"/>
    <cellStyle name="60% - Accent5 2" xfId="214"/>
    <cellStyle name="60% - Accent5 2 2" xfId="215"/>
    <cellStyle name="60% - Accent5 2 2 2" xfId="216"/>
    <cellStyle name="60% - Accent5 2 2 3" xfId="217"/>
    <cellStyle name="60% - Accent5 2 2 4" xfId="218"/>
    <cellStyle name="60% - Accent5 2 3" xfId="219"/>
    <cellStyle name="60% - Accent5 2 4" xfId="220"/>
    <cellStyle name="60% - Accent5 2_QC Sheet" xfId="221"/>
    <cellStyle name="60% - Accent5 3" xfId="222"/>
    <cellStyle name="60% - Accent5 4" xfId="223"/>
    <cellStyle name="60% - Accent6" xfId="224" builtinId="52" customBuiltin="1"/>
    <cellStyle name="60% - Accent6 2" xfId="225"/>
    <cellStyle name="60% - Accent6 2 2" xfId="226"/>
    <cellStyle name="60% - Accent6 2 2 2" xfId="227"/>
    <cellStyle name="60% - Accent6 2 2 3" xfId="228"/>
    <cellStyle name="60% - Accent6 2 2 4" xfId="229"/>
    <cellStyle name="60% - Accent6 2 3" xfId="230"/>
    <cellStyle name="60% - Accent6 2 4" xfId="231"/>
    <cellStyle name="60% - Accent6 2_QC Sheet" xfId="232"/>
    <cellStyle name="60% - Accent6 3" xfId="233"/>
    <cellStyle name="60% - Accent6 4" xfId="234"/>
    <cellStyle name="Accent1" xfId="235" builtinId="29" customBuiltin="1"/>
    <cellStyle name="Accent1 2" xfId="236"/>
    <cellStyle name="Accent1 2 2" xfId="237"/>
    <cellStyle name="Accent1 2 2 2" xfId="238"/>
    <cellStyle name="Accent1 2 2 3" xfId="239"/>
    <cellStyle name="Accent1 2 2 4" xfId="240"/>
    <cellStyle name="Accent1 2 3" xfId="241"/>
    <cellStyle name="Accent1 2 4" xfId="242"/>
    <cellStyle name="Accent1 2_QC Sheet" xfId="243"/>
    <cellStyle name="Accent1 3" xfId="244"/>
    <cellStyle name="Accent1 4" xfId="245"/>
    <cellStyle name="Accent2" xfId="246" builtinId="33" customBuiltin="1"/>
    <cellStyle name="Accent2 2" xfId="247"/>
    <cellStyle name="Accent2 2 2" xfId="248"/>
    <cellStyle name="Accent2 2 2 2" xfId="249"/>
    <cellStyle name="Accent2 2 2 3" xfId="250"/>
    <cellStyle name="Accent2 2 2 4" xfId="251"/>
    <cellStyle name="Accent2 2 3" xfId="252"/>
    <cellStyle name="Accent2 2 4" xfId="253"/>
    <cellStyle name="Accent2 2_QC Sheet" xfId="254"/>
    <cellStyle name="Accent2 3" xfId="255"/>
    <cellStyle name="Accent2 4" xfId="256"/>
    <cellStyle name="Accent3" xfId="257" builtinId="37" customBuiltin="1"/>
    <cellStyle name="Accent3 2" xfId="258"/>
    <cellStyle name="Accent3 2 2" xfId="259"/>
    <cellStyle name="Accent3 2 2 2" xfId="260"/>
    <cellStyle name="Accent3 2 2 3" xfId="261"/>
    <cellStyle name="Accent3 2 2 4" xfId="262"/>
    <cellStyle name="Accent3 2 3" xfId="263"/>
    <cellStyle name="Accent3 2 4" xfId="264"/>
    <cellStyle name="Accent3 2_QC Sheet" xfId="265"/>
    <cellStyle name="Accent3 3" xfId="266"/>
    <cellStyle name="Accent3 4" xfId="267"/>
    <cellStyle name="Accent4" xfId="268" builtinId="41" customBuiltin="1"/>
    <cellStyle name="Accent4 2" xfId="269"/>
    <cellStyle name="Accent4 2 2" xfId="270"/>
    <cellStyle name="Accent4 2 2 2" xfId="271"/>
    <cellStyle name="Accent4 2 2 3" xfId="272"/>
    <cellStyle name="Accent4 2 2 4" xfId="273"/>
    <cellStyle name="Accent4 2 3" xfId="274"/>
    <cellStyle name="Accent4 2 4" xfId="275"/>
    <cellStyle name="Accent4 2_QC Sheet" xfId="276"/>
    <cellStyle name="Accent4 3" xfId="277"/>
    <cellStyle name="Accent4 4" xfId="278"/>
    <cellStyle name="Accent5" xfId="279" builtinId="45" customBuiltin="1"/>
    <cellStyle name="Accent5 2" xfId="280"/>
    <cellStyle name="Accent5 2 2" xfId="281"/>
    <cellStyle name="Accent5 2 2 2" xfId="282"/>
    <cellStyle name="Accent5 2 2 3" xfId="283"/>
    <cellStyle name="Accent5 2 2 4" xfId="284"/>
    <cellStyle name="Accent5 2 3" xfId="285"/>
    <cellStyle name="Accent5 2 4" xfId="286"/>
    <cellStyle name="Accent5 2_QC Sheet" xfId="287"/>
    <cellStyle name="Accent5 3" xfId="288"/>
    <cellStyle name="Accent5 4" xfId="289"/>
    <cellStyle name="Accent6" xfId="290" builtinId="49" customBuiltin="1"/>
    <cellStyle name="Accent6 2" xfId="291"/>
    <cellStyle name="Accent6 2 2" xfId="292"/>
    <cellStyle name="Accent6 2 2 2" xfId="293"/>
    <cellStyle name="Accent6 2 2 3" xfId="294"/>
    <cellStyle name="Accent6 2 2 4" xfId="295"/>
    <cellStyle name="Accent6 2 3" xfId="296"/>
    <cellStyle name="Accent6 2 4" xfId="297"/>
    <cellStyle name="Accent6 2_QC Sheet" xfId="298"/>
    <cellStyle name="Accent6 3" xfId="299"/>
    <cellStyle name="Accent6 4" xfId="300"/>
    <cellStyle name="Adjustable" xfId="301"/>
    <cellStyle name="Bad" xfId="302" builtinId="27" customBuiltin="1"/>
    <cellStyle name="Bad 2" xfId="303"/>
    <cellStyle name="Bad 2 2" xfId="304"/>
    <cellStyle name="Bad 2 2 2" xfId="305"/>
    <cellStyle name="Bad 2 2 3" xfId="306"/>
    <cellStyle name="Bad 2 2 4" xfId="307"/>
    <cellStyle name="Bad 2 3" xfId="308"/>
    <cellStyle name="Bad 2 4" xfId="309"/>
    <cellStyle name="Bad 2_QC Sheet" xfId="310"/>
    <cellStyle name="Bad 3" xfId="311"/>
    <cellStyle name="Bad 4" xfId="312"/>
    <cellStyle name="Calc Currency (0)" xfId="313"/>
    <cellStyle name="Calculation" xfId="314" builtinId="22" customBuiltin="1"/>
    <cellStyle name="Calculation 2" xfId="315"/>
    <cellStyle name="Calculation 2 2" xfId="316"/>
    <cellStyle name="Calculation 2 2 2" xfId="317"/>
    <cellStyle name="Calculation 2 2 3" xfId="318"/>
    <cellStyle name="Calculation 2 2 4" xfId="319"/>
    <cellStyle name="Calculation 2 3" xfId="320"/>
    <cellStyle name="Calculation 2 4" xfId="321"/>
    <cellStyle name="Calculation 2_QC" xfId="322"/>
    <cellStyle name="Calculation 3" xfId="323"/>
    <cellStyle name="Calculation 4" xfId="324"/>
    <cellStyle name="Check Cell" xfId="325" builtinId="23" customBuiltin="1"/>
    <cellStyle name="Check Cell 2" xfId="326"/>
    <cellStyle name="Check Cell 2 2" xfId="327"/>
    <cellStyle name="Check Cell 2 2 2" xfId="328"/>
    <cellStyle name="Check Cell 2 2 3" xfId="329"/>
    <cellStyle name="Check Cell 2 2 4" xfId="330"/>
    <cellStyle name="Check Cell 2 3" xfId="331"/>
    <cellStyle name="Check Cell 2 4" xfId="332"/>
    <cellStyle name="Check Cell 2_QC" xfId="333"/>
    <cellStyle name="Check Cell 3" xfId="334"/>
    <cellStyle name="Check Cell 4" xfId="335"/>
    <cellStyle name="Comma" xfId="336" builtinId="3"/>
    <cellStyle name="Comma 0" xfId="337"/>
    <cellStyle name="Comma 10" xfId="338"/>
    <cellStyle name="Comma 10 2" xfId="339"/>
    <cellStyle name="Comma 10 2 2" xfId="340"/>
    <cellStyle name="Comma 10 3" xfId="341"/>
    <cellStyle name="Comma 10 4" xfId="342"/>
    <cellStyle name="Comma 11" xfId="343"/>
    <cellStyle name="Comma 11 2" xfId="344"/>
    <cellStyle name="Comma 11 3" xfId="345"/>
    <cellStyle name="Comma 11 3 2" xfId="346"/>
    <cellStyle name="Comma 11 3 3" xfId="347"/>
    <cellStyle name="Comma 12" xfId="348"/>
    <cellStyle name="Comma 13" xfId="349"/>
    <cellStyle name="Comma 13 2" xfId="350"/>
    <cellStyle name="Comma 13 3" xfId="351"/>
    <cellStyle name="Comma 14" xfId="352"/>
    <cellStyle name="Comma 15" xfId="353"/>
    <cellStyle name="Comma 15 2" xfId="354"/>
    <cellStyle name="Comma 16" xfId="355"/>
    <cellStyle name="Comma 16 2" xfId="356"/>
    <cellStyle name="Comma 16 3" xfId="357"/>
    <cellStyle name="Comma 17" xfId="358"/>
    <cellStyle name="Comma 18" xfId="359"/>
    <cellStyle name="Comma 19" xfId="1476"/>
    <cellStyle name="Comma 2" xfId="360"/>
    <cellStyle name="Comma 2 2" xfId="361"/>
    <cellStyle name="Comma 2 2 2" xfId="362"/>
    <cellStyle name="Comma 2 2 2 2" xfId="363"/>
    <cellStyle name="Comma 2 2 2 3" xfId="364"/>
    <cellStyle name="Comma 2 3" xfId="365"/>
    <cellStyle name="Comma 2 4" xfId="366"/>
    <cellStyle name="Comma 2 4 2" xfId="367"/>
    <cellStyle name="Comma 2 4 3" xfId="368"/>
    <cellStyle name="Comma 2 5" xfId="369"/>
    <cellStyle name="Comma 2 6" xfId="370"/>
    <cellStyle name="Comma 2 7" xfId="1486"/>
    <cellStyle name="Comma 2_BP-14 Preliminary Capital Forecast NonBudget System_5 2 13" xfId="371"/>
    <cellStyle name="Comma 20" xfId="1479"/>
    <cellStyle name="Comma 21" xfId="1481"/>
    <cellStyle name="Comma 22" xfId="1483"/>
    <cellStyle name="Comma 3" xfId="372"/>
    <cellStyle name="Comma 3 10" xfId="373"/>
    <cellStyle name="Comma 3 11" xfId="374"/>
    <cellStyle name="Comma 3 12" xfId="375"/>
    <cellStyle name="Comma 3 12 2" xfId="376"/>
    <cellStyle name="Comma 3 2" xfId="377"/>
    <cellStyle name="Comma 3 2 2" xfId="378"/>
    <cellStyle name="Comma 3 2 2 2" xfId="379"/>
    <cellStyle name="Comma 3 2 2 2 2" xfId="380"/>
    <cellStyle name="Comma 3 2 2 2 3" xfId="381"/>
    <cellStyle name="Comma 3 2 2 3" xfId="382"/>
    <cellStyle name="Comma 3 2 2 3 2" xfId="383"/>
    <cellStyle name="Comma 3 2 2 3 3" xfId="384"/>
    <cellStyle name="Comma 3 2 2 3 3 2" xfId="385"/>
    <cellStyle name="Comma 3 2 2 3 3 3" xfId="386"/>
    <cellStyle name="Comma 3 2 2 4" xfId="387"/>
    <cellStyle name="Comma 3 2 2 5" xfId="388"/>
    <cellStyle name="Comma 3 2 2 5 2" xfId="389"/>
    <cellStyle name="Comma 3 2 2 5 3" xfId="390"/>
    <cellStyle name="Comma 3 2 2 6" xfId="391"/>
    <cellStyle name="Comma 3 2 2 7" xfId="392"/>
    <cellStyle name="Comma 3 2 2 8" xfId="393"/>
    <cellStyle name="Comma 3 2 3" xfId="394"/>
    <cellStyle name="Comma 3 2 3 2" xfId="395"/>
    <cellStyle name="Comma 3 2 3 3" xfId="396"/>
    <cellStyle name="Comma 3 2 3 4" xfId="397"/>
    <cellStyle name="Comma 3 2 4" xfId="398"/>
    <cellStyle name="Comma 3 2 4 2" xfId="399"/>
    <cellStyle name="Comma 3 2 5" xfId="400"/>
    <cellStyle name="Comma 3 2 5 2" xfId="401"/>
    <cellStyle name="Comma 3 2 5 3" xfId="402"/>
    <cellStyle name="Comma 3 2 5 3 2" xfId="403"/>
    <cellStyle name="Comma 3 2 5 3 3" xfId="404"/>
    <cellStyle name="Comma 3 2 6" xfId="405"/>
    <cellStyle name="Comma 3 2 7" xfId="406"/>
    <cellStyle name="Comma 3 2 8" xfId="407"/>
    <cellStyle name="Comma 3 2 9" xfId="408"/>
    <cellStyle name="Comma 3 3" xfId="409"/>
    <cellStyle name="Comma 3 3 2" xfId="410"/>
    <cellStyle name="Comma 3 3 3" xfId="411"/>
    <cellStyle name="Comma 3 3 4" xfId="412"/>
    <cellStyle name="Comma 3 4" xfId="413"/>
    <cellStyle name="Comma 3 4 2" xfId="414"/>
    <cellStyle name="Comma 3 4 2 2" xfId="415"/>
    <cellStyle name="Comma 3 4 2 3" xfId="416"/>
    <cellStyle name="Comma 3 4 2 3 2" xfId="417"/>
    <cellStyle name="Comma 3 4 2 3 3" xfId="418"/>
    <cellStyle name="Comma 3 4 3" xfId="419"/>
    <cellStyle name="Comma 3 4 3 2" xfId="420"/>
    <cellStyle name="Comma 3 4 3 3" xfId="421"/>
    <cellStyle name="Comma 3 4 4" xfId="422"/>
    <cellStyle name="Comma 3 4 5" xfId="423"/>
    <cellStyle name="Comma 3 5" xfId="424"/>
    <cellStyle name="Comma 3 5 2" xfId="425"/>
    <cellStyle name="Comma 3 5 2 2" xfId="426"/>
    <cellStyle name="Comma 3 5 2 3" xfId="427"/>
    <cellStyle name="Comma 3 5 2 3 2" xfId="428"/>
    <cellStyle name="Comma 3 5 2 3 3" xfId="429"/>
    <cellStyle name="Comma 3 5 3" xfId="430"/>
    <cellStyle name="Comma 3 5 3 2" xfId="431"/>
    <cellStyle name="Comma 3 5 3 3" xfId="432"/>
    <cellStyle name="Comma 3 5 4" xfId="433"/>
    <cellStyle name="Comma 3 5 5" xfId="434"/>
    <cellStyle name="Comma 3 6" xfId="435"/>
    <cellStyle name="Comma 3 6 2" xfId="436"/>
    <cellStyle name="Comma 3 6 2 2" xfId="437"/>
    <cellStyle name="Comma 3 6 2 3" xfId="438"/>
    <cellStyle name="Comma 3 7" xfId="439"/>
    <cellStyle name="Comma 3 8" xfId="440"/>
    <cellStyle name="Comma 3 8 2" xfId="441"/>
    <cellStyle name="Comma 3 9" xfId="442"/>
    <cellStyle name="Comma 3 9 2" xfId="443"/>
    <cellStyle name="Comma 3 9 3" xfId="444"/>
    <cellStyle name="Comma 3 9 3 2" xfId="445"/>
    <cellStyle name="Comma 3 9 3 3" xfId="446"/>
    <cellStyle name="Comma 4" xfId="447"/>
    <cellStyle name="Comma 4 2" xfId="448"/>
    <cellStyle name="Comma 4 2 2" xfId="449"/>
    <cellStyle name="Comma 4 2 2 2" xfId="450"/>
    <cellStyle name="Comma 4 2 2 3" xfId="451"/>
    <cellStyle name="Comma 4 2 3" xfId="452"/>
    <cellStyle name="Comma 4 2 4" xfId="453"/>
    <cellStyle name="Comma 4 2 4 2" xfId="454"/>
    <cellStyle name="Comma 4 2 4 3" xfId="455"/>
    <cellStyle name="Comma 4 2 4 3 2" xfId="456"/>
    <cellStyle name="Comma 4 2 4 3 3" xfId="457"/>
    <cellStyle name="Comma 4 2 5" xfId="458"/>
    <cellStyle name="Comma 4 2 5 2" xfId="459"/>
    <cellStyle name="Comma 4 2 5 3" xfId="460"/>
    <cellStyle name="Comma 4 2 6" xfId="461"/>
    <cellStyle name="Comma 4 2 7" xfId="462"/>
    <cellStyle name="Comma 4 2 8" xfId="463"/>
    <cellStyle name="Comma 5" xfId="464"/>
    <cellStyle name="Comma 5 2" xfId="465"/>
    <cellStyle name="Comma 5 3" xfId="466"/>
    <cellStyle name="Comma 5 4" xfId="467"/>
    <cellStyle name="Comma 6" xfId="468"/>
    <cellStyle name="Comma 6 2" xfId="469"/>
    <cellStyle name="Comma 6 2 2" xfId="470"/>
    <cellStyle name="Comma 6 2 3" xfId="471"/>
    <cellStyle name="Comma 6 2 4" xfId="472"/>
    <cellStyle name="Comma 6 3" xfId="473"/>
    <cellStyle name="Comma 6 3 2" xfId="474"/>
    <cellStyle name="Comma 6 4" xfId="475"/>
    <cellStyle name="Comma 6 4 2" xfId="476"/>
    <cellStyle name="Comma 6 5" xfId="477"/>
    <cellStyle name="Comma 6 6" xfId="478"/>
    <cellStyle name="Comma 6 6 2" xfId="479"/>
    <cellStyle name="Comma 6 6 3" xfId="480"/>
    <cellStyle name="Comma 6 6 3 2" xfId="481"/>
    <cellStyle name="Comma 6 6 3 3" xfId="482"/>
    <cellStyle name="Comma 6 7" xfId="483"/>
    <cellStyle name="Comma 6 7 2" xfId="484"/>
    <cellStyle name="Comma 6 7 3" xfId="485"/>
    <cellStyle name="Comma 6 8" xfId="486"/>
    <cellStyle name="Comma 7" xfId="487"/>
    <cellStyle name="Comma 7 2" xfId="488"/>
    <cellStyle name="Comma 7 3" xfId="489"/>
    <cellStyle name="Comma 7 4" xfId="490"/>
    <cellStyle name="Comma 7 5" xfId="491"/>
    <cellStyle name="Comma 8" xfId="492"/>
    <cellStyle name="Comma 8 2" xfId="493"/>
    <cellStyle name="Comma 8 3" xfId="494"/>
    <cellStyle name="Comma 8 4" xfId="495"/>
    <cellStyle name="Comma 8 5" xfId="496"/>
    <cellStyle name="Comma 9" xfId="497"/>
    <cellStyle name="Comma 9 2" xfId="498"/>
    <cellStyle name="Comma 9 3" xfId="499"/>
    <cellStyle name="Comma0" xfId="500"/>
    <cellStyle name="Comma0 - Style4" xfId="501"/>
    <cellStyle name="Copied" xfId="502"/>
    <cellStyle name="COST1" xfId="503"/>
    <cellStyle name="Curren - Style1" xfId="504"/>
    <cellStyle name="Curren - Style5" xfId="505"/>
    <cellStyle name="Currency" xfId="1474" builtinId="4"/>
    <cellStyle name="Currency 0" xfId="506"/>
    <cellStyle name="Currency 2" xfId="507"/>
    <cellStyle name="Currency 2 2" xfId="508"/>
    <cellStyle name="Currency 2 3" xfId="509"/>
    <cellStyle name="Currency 2 4" xfId="510"/>
    <cellStyle name="Currency 3" xfId="511"/>
    <cellStyle name="Currency 4" xfId="512"/>
    <cellStyle name="Currency 4 2" xfId="513"/>
    <cellStyle name="Currency 4 3" xfId="514"/>
    <cellStyle name="Currency 5" xfId="515"/>
    <cellStyle name="Currency 6" xfId="516"/>
    <cellStyle name="Currency 7" xfId="517"/>
    <cellStyle name="Currency 8" xfId="518"/>
    <cellStyle name="Currency 9" xfId="519"/>
    <cellStyle name="Currency0" xfId="520"/>
    <cellStyle name="Date" xfId="521"/>
    <cellStyle name="Date Aligned" xfId="522"/>
    <cellStyle name="Dotted Line" xfId="523"/>
    <cellStyle name="Entered" xfId="524"/>
    <cellStyle name="Explanatory Text" xfId="525" builtinId="53" customBuiltin="1"/>
    <cellStyle name="Explanatory Text 2" xfId="526"/>
    <cellStyle name="Explanatory Text 2 2" xfId="527"/>
    <cellStyle name="Explanatory Text 2 2 2" xfId="528"/>
    <cellStyle name="Explanatory Text 2 2 3" xfId="529"/>
    <cellStyle name="Explanatory Text 2 2 4" xfId="530"/>
    <cellStyle name="Explanatory Text 2 3" xfId="531"/>
    <cellStyle name="Explanatory Text 2 4" xfId="532"/>
    <cellStyle name="Explanatory Text 2_QC Sheet" xfId="533"/>
    <cellStyle name="Explanatory Text 3" xfId="534"/>
    <cellStyle name="Explanatory Text 4" xfId="535"/>
    <cellStyle name="Fixed" xfId="536"/>
    <cellStyle name="Fixed3 - Style3" xfId="537"/>
    <cellStyle name="Footnote" xfId="538"/>
    <cellStyle name="Good" xfId="539" builtinId="26" customBuiltin="1"/>
    <cellStyle name="Good 2" xfId="540"/>
    <cellStyle name="Good 2 2" xfId="541"/>
    <cellStyle name="Good 2 2 2" xfId="542"/>
    <cellStyle name="Good 2 2 3" xfId="543"/>
    <cellStyle name="Good 2 2 4" xfId="544"/>
    <cellStyle name="Good 2 3" xfId="545"/>
    <cellStyle name="Good 2 4" xfId="546"/>
    <cellStyle name="Good 2_QC Sheet" xfId="547"/>
    <cellStyle name="Good 3" xfId="548"/>
    <cellStyle name="Good 4" xfId="549"/>
    <cellStyle name="Grey" xfId="550"/>
    <cellStyle name="Hard Percent" xfId="551"/>
    <cellStyle name="Header" xfId="552"/>
    <cellStyle name="Header1" xfId="553"/>
    <cellStyle name="Header2" xfId="554"/>
    <cellStyle name="Heading 1" xfId="555" builtinId="16" customBuiltin="1"/>
    <cellStyle name="Heading 1 2" xfId="556"/>
    <cellStyle name="Heading 1 2 2" xfId="557"/>
    <cellStyle name="Heading 1 2 2 2" xfId="558"/>
    <cellStyle name="Heading 1 2 2 3" xfId="559"/>
    <cellStyle name="Heading 1 2 3" xfId="560"/>
    <cellStyle name="Heading 1 2 4" xfId="561"/>
    <cellStyle name="Heading 1 2_QC" xfId="562"/>
    <cellStyle name="Heading 1 3" xfId="563"/>
    <cellStyle name="Heading 1 4" xfId="564"/>
    <cellStyle name="Heading 2" xfId="565" builtinId="17" customBuiltin="1"/>
    <cellStyle name="Heading 2 2" xfId="566"/>
    <cellStyle name="Heading 2 2 2" xfId="567"/>
    <cellStyle name="Heading 2 2 2 2" xfId="568"/>
    <cellStyle name="Heading 2 2 2 3" xfId="569"/>
    <cellStyle name="Heading 2 2 3" xfId="570"/>
    <cellStyle name="Heading 2 2 4" xfId="571"/>
    <cellStyle name="Heading 2 2_QC" xfId="572"/>
    <cellStyle name="Heading 2 3" xfId="573"/>
    <cellStyle name="Heading 2 4" xfId="574"/>
    <cellStyle name="Heading 3" xfId="575" builtinId="18" customBuiltin="1"/>
    <cellStyle name="Heading 3 2" xfId="576"/>
    <cellStyle name="Heading 3 2 2" xfId="577"/>
    <cellStyle name="Heading 3 2 2 2" xfId="578"/>
    <cellStyle name="Heading 3 2 2 3" xfId="579"/>
    <cellStyle name="Heading 3 2 3" xfId="580"/>
    <cellStyle name="Heading 3 2 4" xfId="581"/>
    <cellStyle name="Heading 3 2_QC" xfId="582"/>
    <cellStyle name="Heading 3 3" xfId="583"/>
    <cellStyle name="Heading 3 4" xfId="584"/>
    <cellStyle name="Heading 4" xfId="585" builtinId="19" customBuiltin="1"/>
    <cellStyle name="Heading 4 2" xfId="586"/>
    <cellStyle name="Heading 4 2 2" xfId="587"/>
    <cellStyle name="Heading 4 2 2 2" xfId="588"/>
    <cellStyle name="Heading 4 2 2 3" xfId="589"/>
    <cellStyle name="Heading 4 2 3" xfId="590"/>
    <cellStyle name="Heading 4 2 4" xfId="591"/>
    <cellStyle name="Heading 4 3" xfId="592"/>
    <cellStyle name="Heading 4 4" xfId="593"/>
    <cellStyle name="Heading1" xfId="594"/>
    <cellStyle name="Heading2" xfId="595"/>
    <cellStyle name="Hyperlink 2" xfId="596"/>
    <cellStyle name="Hyperlink 3" xfId="597"/>
    <cellStyle name="Hyperlink 3 2" xfId="598"/>
    <cellStyle name="Hyperlink 3 3" xfId="599"/>
    <cellStyle name="Hyperlink 4" xfId="600"/>
    <cellStyle name="Hyperlink 4 2" xfId="601"/>
    <cellStyle name="Hyperlink 4 3" xfId="602"/>
    <cellStyle name="Hyperlink 5" xfId="603"/>
    <cellStyle name="Hyperlink 5 2" xfId="604"/>
    <cellStyle name="Hyperlink 5 3" xfId="605"/>
    <cellStyle name="Hyperlink 6" xfId="606"/>
    <cellStyle name="Input" xfId="607" builtinId="20" customBuiltin="1"/>
    <cellStyle name="Input [yellow]" xfId="608"/>
    <cellStyle name="Input 2" xfId="609"/>
    <cellStyle name="Input 2 2" xfId="610"/>
    <cellStyle name="Input 2 2 2" xfId="611"/>
    <cellStyle name="Input 2 2 3" xfId="612"/>
    <cellStyle name="Input 2 2 4" xfId="613"/>
    <cellStyle name="Input 2 3" xfId="614"/>
    <cellStyle name="Input 2 4" xfId="615"/>
    <cellStyle name="Input 2_QC" xfId="616"/>
    <cellStyle name="Input 3" xfId="617"/>
    <cellStyle name="Input 4" xfId="618"/>
    <cellStyle name="Input 5" xfId="619"/>
    <cellStyle name="Input 6" xfId="620"/>
    <cellStyle name="Input 7" xfId="621"/>
    <cellStyle name="Input 8" xfId="622"/>
    <cellStyle name="Input 9" xfId="623"/>
    <cellStyle name="Input Cells" xfId="624"/>
    <cellStyle name="Lines" xfId="625"/>
    <cellStyle name="Linked Cell" xfId="626" builtinId="24" customBuiltin="1"/>
    <cellStyle name="Linked Cell 2" xfId="627"/>
    <cellStyle name="Linked Cell 2 2" xfId="628"/>
    <cellStyle name="Linked Cell 2 2 2" xfId="629"/>
    <cellStyle name="Linked Cell 2 2 3" xfId="630"/>
    <cellStyle name="Linked Cell 2 3" xfId="631"/>
    <cellStyle name="Linked Cell 2_QC" xfId="632"/>
    <cellStyle name="Linked Cell 3" xfId="633"/>
    <cellStyle name="Linked Cell 4" xfId="634"/>
    <cellStyle name="modified border" xfId="635"/>
    <cellStyle name="modified border1" xfId="636"/>
    <cellStyle name="Multiple" xfId="637"/>
    <cellStyle name="Neutral" xfId="638" builtinId="28" customBuiltin="1"/>
    <cellStyle name="Neutral 2" xfId="639"/>
    <cellStyle name="Neutral 2 2" xfId="640"/>
    <cellStyle name="Neutral 2 2 2" xfId="641"/>
    <cellStyle name="Neutral 2 2 3" xfId="642"/>
    <cellStyle name="Neutral 2 3" xfId="643"/>
    <cellStyle name="Neutral 2_QC Sheet" xfId="644"/>
    <cellStyle name="Neutral 3" xfId="645"/>
    <cellStyle name="Neutral 4" xfId="646"/>
    <cellStyle name="no dec" xfId="647"/>
    <cellStyle name="Normal" xfId="0" builtinId="0"/>
    <cellStyle name="Normal - Style1" xfId="648"/>
    <cellStyle name="Normal 10" xfId="649"/>
    <cellStyle name="Normal 10 2" xfId="650"/>
    <cellStyle name="Normal 10 3" xfId="651"/>
    <cellStyle name="Normal 100" xfId="652"/>
    <cellStyle name="Normal 101" xfId="653"/>
    <cellStyle name="Normal 102" xfId="654"/>
    <cellStyle name="Normal 103" xfId="655"/>
    <cellStyle name="Normal 104" xfId="656"/>
    <cellStyle name="Normal 105" xfId="657"/>
    <cellStyle name="Normal 106" xfId="658"/>
    <cellStyle name="Normal 107" xfId="659"/>
    <cellStyle name="Normal 108" xfId="660"/>
    <cellStyle name="Normal 109" xfId="661"/>
    <cellStyle name="Normal 109 2" xfId="662"/>
    <cellStyle name="Normal 11" xfId="663"/>
    <cellStyle name="Normal 11 2" xfId="664"/>
    <cellStyle name="Normal 11 3" xfId="665"/>
    <cellStyle name="Normal 11 3 2" xfId="666"/>
    <cellStyle name="Normal 11 3 3" xfId="667"/>
    <cellStyle name="Normal 110" xfId="668"/>
    <cellStyle name="Normal 110 2" xfId="669"/>
    <cellStyle name="Normal 111" xfId="670"/>
    <cellStyle name="Normal 111 2" xfId="671"/>
    <cellStyle name="Normal 112" xfId="672"/>
    <cellStyle name="Normal 112 2" xfId="673"/>
    <cellStyle name="Normal 113" xfId="674"/>
    <cellStyle name="Normal 113 2" xfId="675"/>
    <cellStyle name="Normal 114" xfId="676"/>
    <cellStyle name="Normal 114 2" xfId="677"/>
    <cellStyle name="Normal 115" xfId="678"/>
    <cellStyle name="Normal 115 2" xfId="679"/>
    <cellStyle name="Normal 116" xfId="680"/>
    <cellStyle name="Normal 117" xfId="681"/>
    <cellStyle name="Normal 118" xfId="682"/>
    <cellStyle name="Normal 119" xfId="683"/>
    <cellStyle name="Normal 12" xfId="684"/>
    <cellStyle name="Normal 120" xfId="685"/>
    <cellStyle name="Normal 121" xfId="686"/>
    <cellStyle name="Normal 122" xfId="687"/>
    <cellStyle name="Normal 123" xfId="688"/>
    <cellStyle name="Normal 124" xfId="689"/>
    <cellStyle name="Normal 125" xfId="690"/>
    <cellStyle name="Normal 126" xfId="691"/>
    <cellStyle name="Normal 127" xfId="692"/>
    <cellStyle name="Normal 128" xfId="693"/>
    <cellStyle name="Normal 129" xfId="694"/>
    <cellStyle name="Normal 13" xfId="695"/>
    <cellStyle name="Normal 13 2" xfId="696"/>
    <cellStyle name="Normal 130" xfId="697"/>
    <cellStyle name="Normal 131" xfId="698"/>
    <cellStyle name="Normal 132" xfId="699"/>
    <cellStyle name="Normal 132 2" xfId="700"/>
    <cellStyle name="Normal 133" xfId="701"/>
    <cellStyle name="Normal 133 2" xfId="702"/>
    <cellStyle name="Normal 134" xfId="703"/>
    <cellStyle name="Normal 134 2" xfId="704"/>
    <cellStyle name="Normal 135" xfId="705"/>
    <cellStyle name="Normal 135 2" xfId="706"/>
    <cellStyle name="Normal 136" xfId="707"/>
    <cellStyle name="Normal 136 2" xfId="708"/>
    <cellStyle name="Normal 137" xfId="709"/>
    <cellStyle name="Normal 137 2" xfId="710"/>
    <cellStyle name="Normal 138" xfId="711"/>
    <cellStyle name="Normal 138 2" xfId="712"/>
    <cellStyle name="Normal 139" xfId="713"/>
    <cellStyle name="Normal 139 2" xfId="714"/>
    <cellStyle name="Normal 14" xfId="715"/>
    <cellStyle name="Normal 140" xfId="716"/>
    <cellStyle name="Normal 140 2" xfId="717"/>
    <cellStyle name="Normal 141" xfId="718"/>
    <cellStyle name="Normal 141 2" xfId="719"/>
    <cellStyle name="Normal 142" xfId="720"/>
    <cellStyle name="Normal 142 2" xfId="721"/>
    <cellStyle name="Normal 143" xfId="722"/>
    <cellStyle name="Normal 143 2" xfId="723"/>
    <cellStyle name="Normal 144" xfId="724"/>
    <cellStyle name="Normal 145" xfId="725"/>
    <cellStyle name="Normal 146" xfId="726"/>
    <cellStyle name="Normal 147" xfId="727"/>
    <cellStyle name="Normal 148" xfId="728"/>
    <cellStyle name="Normal 149" xfId="729"/>
    <cellStyle name="Normal 15" xfId="730"/>
    <cellStyle name="Normal 150" xfId="731"/>
    <cellStyle name="Normal 151" xfId="732"/>
    <cellStyle name="Normal 152" xfId="733"/>
    <cellStyle name="Normal 153" xfId="734"/>
    <cellStyle name="Normal 154" xfId="735"/>
    <cellStyle name="Normal 155" xfId="736"/>
    <cellStyle name="Normal 156" xfId="737"/>
    <cellStyle name="Normal 157" xfId="738"/>
    <cellStyle name="Normal 158" xfId="739"/>
    <cellStyle name="Normal 159" xfId="740"/>
    <cellStyle name="Normal 16" xfId="741"/>
    <cellStyle name="Normal 160" xfId="742"/>
    <cellStyle name="Normal 161" xfId="743"/>
    <cellStyle name="Normal 162" xfId="744"/>
    <cellStyle name="Normal 163" xfId="745"/>
    <cellStyle name="Normal 164" xfId="746"/>
    <cellStyle name="Normal 165" xfId="747"/>
    <cellStyle name="Normal 166" xfId="748"/>
    <cellStyle name="Normal 167" xfId="749"/>
    <cellStyle name="Normal 168" xfId="750"/>
    <cellStyle name="Normal 168 2" xfId="751"/>
    <cellStyle name="Normal 169" xfId="752"/>
    <cellStyle name="Normal 169 2" xfId="753"/>
    <cellStyle name="Normal 17" xfId="754"/>
    <cellStyle name="Normal 170" xfId="755"/>
    <cellStyle name="Normal 170 2" xfId="756"/>
    <cellStyle name="Normal 171" xfId="757"/>
    <cellStyle name="Normal 171 2" xfId="758"/>
    <cellStyle name="Normal 172" xfId="759"/>
    <cellStyle name="Normal 173" xfId="760"/>
    <cellStyle name="Normal 174" xfId="761"/>
    <cellStyle name="Normal 175" xfId="762"/>
    <cellStyle name="Normal 176" xfId="763"/>
    <cellStyle name="Normal 177" xfId="764"/>
    <cellStyle name="Normal 178" xfId="765"/>
    <cellStyle name="Normal 179" xfId="766"/>
    <cellStyle name="Normal 18" xfId="767"/>
    <cellStyle name="Normal 18 2" xfId="768"/>
    <cellStyle name="Normal 18 3" xfId="769"/>
    <cellStyle name="Normal 18 3 2" xfId="770"/>
    <cellStyle name="Normal 18 3 3" xfId="771"/>
    <cellStyle name="Normal 180" xfId="772"/>
    <cellStyle name="Normal 181" xfId="773"/>
    <cellStyle name="Normal 182" xfId="774"/>
    <cellStyle name="Normal 182 2" xfId="775"/>
    <cellStyle name="Normal 182 3" xfId="776"/>
    <cellStyle name="Normal 183" xfId="777"/>
    <cellStyle name="Normal 183 2" xfId="778"/>
    <cellStyle name="Normal 183 3" xfId="779"/>
    <cellStyle name="Normal 184" xfId="780"/>
    <cellStyle name="Normal 184 2" xfId="781"/>
    <cellStyle name="Normal 184 3" xfId="782"/>
    <cellStyle name="Normal 185" xfId="783"/>
    <cellStyle name="Normal 185 2" xfId="784"/>
    <cellStyle name="Normal 185 2 2" xfId="785"/>
    <cellStyle name="Normal 185 2 3" xfId="786"/>
    <cellStyle name="Normal 185 3" xfId="787"/>
    <cellStyle name="Normal 186" xfId="788"/>
    <cellStyle name="Normal 187" xfId="789"/>
    <cellStyle name="Normal 188" xfId="790"/>
    <cellStyle name="Normal 189" xfId="791"/>
    <cellStyle name="Normal 19" xfId="792"/>
    <cellStyle name="Normal 190" xfId="793"/>
    <cellStyle name="Normal 191" xfId="794"/>
    <cellStyle name="Normal 192" xfId="795"/>
    <cellStyle name="Normal 193" xfId="796"/>
    <cellStyle name="Normal 194" xfId="797"/>
    <cellStyle name="Normal 195" xfId="798"/>
    <cellStyle name="Normal 196" xfId="799"/>
    <cellStyle name="Normal 197" xfId="800"/>
    <cellStyle name="Normal 198" xfId="801"/>
    <cellStyle name="Normal 199" xfId="802"/>
    <cellStyle name="Normal 199 2" xfId="803"/>
    <cellStyle name="Normal 199 3" xfId="804"/>
    <cellStyle name="Normal 2" xfId="805"/>
    <cellStyle name="Normal 2 2" xfId="806"/>
    <cellStyle name="Normal 2 3" xfId="807"/>
    <cellStyle name="Normal 2 4" xfId="1487"/>
    <cellStyle name="Normal 2_Federal Interest Calculation Su" xfId="808"/>
    <cellStyle name="Normal 20" xfId="809"/>
    <cellStyle name="Normal 20 2" xfId="810"/>
    <cellStyle name="Normal 20 3" xfId="811"/>
    <cellStyle name="Normal 20 3 2" xfId="812"/>
    <cellStyle name="Normal 20 3 3" xfId="813"/>
    <cellStyle name="Normal 200" xfId="814"/>
    <cellStyle name="Normal 201" xfId="815"/>
    <cellStyle name="Normal 202" xfId="816"/>
    <cellStyle name="Normal 203" xfId="817"/>
    <cellStyle name="Normal 204" xfId="818"/>
    <cellStyle name="Normal 205" xfId="819"/>
    <cellStyle name="Normal 206" xfId="820"/>
    <cellStyle name="Normal 207" xfId="821"/>
    <cellStyle name="Normal 208" xfId="822"/>
    <cellStyle name="Normal 208 2" xfId="823"/>
    <cellStyle name="Normal 209" xfId="824"/>
    <cellStyle name="Normal 209 2" xfId="825"/>
    <cellStyle name="Normal 21" xfId="826"/>
    <cellStyle name="Normal 210" xfId="827"/>
    <cellStyle name="Normal 211" xfId="828"/>
    <cellStyle name="Normal 211 2" xfId="829"/>
    <cellStyle name="Normal 211 3" xfId="830"/>
    <cellStyle name="Normal 212" xfId="831"/>
    <cellStyle name="Normal 212 2" xfId="832"/>
    <cellStyle name="Normal 212 3" xfId="833"/>
    <cellStyle name="Normal 213" xfId="834"/>
    <cellStyle name="Normal 213 2" xfId="835"/>
    <cellStyle name="Normal 213 3" xfId="836"/>
    <cellStyle name="Normal 214" xfId="837"/>
    <cellStyle name="Normal 214 2" xfId="838"/>
    <cellStyle name="Normal 214 3" xfId="839"/>
    <cellStyle name="Normal 215" xfId="840"/>
    <cellStyle name="Normal 215 2" xfId="841"/>
    <cellStyle name="Normal 215 3" xfId="842"/>
    <cellStyle name="Normal 216" xfId="843"/>
    <cellStyle name="Normal 216 2" xfId="844"/>
    <cellStyle name="Normal 217" xfId="845"/>
    <cellStyle name="Normal 217 2" xfId="846"/>
    <cellStyle name="Normal 218" xfId="847"/>
    <cellStyle name="Normal 218 2" xfId="848"/>
    <cellStyle name="Normal 219" xfId="849"/>
    <cellStyle name="Normal 219 2" xfId="850"/>
    <cellStyle name="Normal 22" xfId="851"/>
    <cellStyle name="Normal 220" xfId="852"/>
    <cellStyle name="Normal 221" xfId="853"/>
    <cellStyle name="Normal 221 2" xfId="854"/>
    <cellStyle name="Normal 222" xfId="855"/>
    <cellStyle name="Normal 222 2" xfId="856"/>
    <cellStyle name="Normal 223" xfId="857"/>
    <cellStyle name="Normal 224" xfId="858"/>
    <cellStyle name="Normal 225" xfId="859"/>
    <cellStyle name="Normal 226" xfId="860"/>
    <cellStyle name="Normal 227" xfId="861"/>
    <cellStyle name="Normal 228" xfId="862"/>
    <cellStyle name="Normal 229" xfId="863"/>
    <cellStyle name="Normal 23" xfId="864"/>
    <cellStyle name="Normal 230" xfId="865"/>
    <cellStyle name="Normal 231" xfId="866"/>
    <cellStyle name="Normal 232" xfId="867"/>
    <cellStyle name="Normal 233" xfId="868"/>
    <cellStyle name="Normal 234" xfId="869"/>
    <cellStyle name="Normal 235" xfId="870"/>
    <cellStyle name="Normal 236" xfId="871"/>
    <cellStyle name="Normal 237" xfId="872"/>
    <cellStyle name="Normal 238" xfId="873"/>
    <cellStyle name="Normal 239" xfId="874"/>
    <cellStyle name="Normal 24" xfId="875"/>
    <cellStyle name="Normal 240" xfId="876"/>
    <cellStyle name="Normal 241" xfId="877"/>
    <cellStyle name="Normal 242" xfId="878"/>
    <cellStyle name="Normal 243" xfId="879"/>
    <cellStyle name="Normal 244" xfId="880"/>
    <cellStyle name="Normal 245" xfId="881"/>
    <cellStyle name="Normal 246" xfId="882"/>
    <cellStyle name="Normal 247" xfId="883"/>
    <cellStyle name="Normal 248" xfId="884"/>
    <cellStyle name="Normal 249" xfId="885"/>
    <cellStyle name="Normal 25" xfId="886"/>
    <cellStyle name="Normal 250" xfId="887"/>
    <cellStyle name="Normal 251" xfId="888"/>
    <cellStyle name="Normal 252" xfId="889"/>
    <cellStyle name="Normal 253" xfId="890"/>
    <cellStyle name="Normal 254" xfId="891"/>
    <cellStyle name="Normal 255" xfId="892"/>
    <cellStyle name="Normal 256" xfId="893"/>
    <cellStyle name="Normal 257" xfId="894"/>
    <cellStyle name="Normal 258" xfId="895"/>
    <cellStyle name="Normal 259" xfId="896"/>
    <cellStyle name="Normal 26" xfId="897"/>
    <cellStyle name="Normal 260" xfId="898"/>
    <cellStyle name="Normal 261" xfId="899"/>
    <cellStyle name="Normal 262" xfId="900"/>
    <cellStyle name="Normal 263" xfId="901"/>
    <cellStyle name="Normal 264" xfId="902"/>
    <cellStyle name="Normal 265" xfId="903"/>
    <cellStyle name="Normal 266" xfId="904"/>
    <cellStyle name="Normal 267" xfId="905"/>
    <cellStyle name="Normal 268" xfId="906"/>
    <cellStyle name="Normal 269" xfId="907"/>
    <cellStyle name="Normal 27" xfId="908"/>
    <cellStyle name="Normal 270" xfId="909"/>
    <cellStyle name="Normal 271" xfId="910"/>
    <cellStyle name="Normal 272" xfId="911"/>
    <cellStyle name="Normal 273" xfId="912"/>
    <cellStyle name="Normal 274" xfId="913"/>
    <cellStyle name="Normal 275" xfId="914"/>
    <cellStyle name="Normal 276" xfId="915"/>
    <cellStyle name="Normal 277" xfId="916"/>
    <cellStyle name="Normal 278" xfId="917"/>
    <cellStyle name="Normal 279" xfId="1475"/>
    <cellStyle name="Normal 279 2" xfId="1484"/>
    <cellStyle name="Normal 28" xfId="918"/>
    <cellStyle name="Normal 280" xfId="1478"/>
    <cellStyle name="Normal 281" xfId="1480"/>
    <cellStyle name="Normal 282" xfId="1482"/>
    <cellStyle name="Normal 288" xfId="1485"/>
    <cellStyle name="Normal 29" xfId="919"/>
    <cellStyle name="Normal 3" xfId="920"/>
    <cellStyle name="Normal 3 2" xfId="921"/>
    <cellStyle name="Normal 3 2 2" xfId="922"/>
    <cellStyle name="Normal 3 2 3" xfId="923"/>
    <cellStyle name="Normal 3 2 4" xfId="924"/>
    <cellStyle name="Normal 3 3" xfId="925"/>
    <cellStyle name="Normal 3 3 2" xfId="926"/>
    <cellStyle name="Normal 3 3 2 2" xfId="927"/>
    <cellStyle name="Normal 3 3 2 3" xfId="928"/>
    <cellStyle name="Normal 3 3 3" xfId="929"/>
    <cellStyle name="Normal 3 3 4" xfId="930"/>
    <cellStyle name="Normal 3_710 CFS; full sustain + full expand (static-like)" xfId="931"/>
    <cellStyle name="Normal 30" xfId="932"/>
    <cellStyle name="Normal 31" xfId="933"/>
    <cellStyle name="Normal 32" xfId="934"/>
    <cellStyle name="Normal 33" xfId="935"/>
    <cellStyle name="Normal 34" xfId="936"/>
    <cellStyle name="Normal 35" xfId="937"/>
    <cellStyle name="Normal 36" xfId="938"/>
    <cellStyle name="Normal 37" xfId="939"/>
    <cellStyle name="Normal 38" xfId="940"/>
    <cellStyle name="Normal 39" xfId="941"/>
    <cellStyle name="Normal 4" xfId="942"/>
    <cellStyle name="Normal 4 10" xfId="943"/>
    <cellStyle name="Normal 4 2" xfId="944"/>
    <cellStyle name="Normal 4 2 2" xfId="945"/>
    <cellStyle name="Normal 4 2 2 2" xfId="946"/>
    <cellStyle name="Normal 4 2 2 2 2" xfId="947"/>
    <cellStyle name="Normal 4 2 2 2 3" xfId="948"/>
    <cellStyle name="Normal 4 2 2 3" xfId="949"/>
    <cellStyle name="Normal 4 2 2 4" xfId="950"/>
    <cellStyle name="Normal 4 2 3" xfId="951"/>
    <cellStyle name="Normal 4 2 3 2" xfId="952"/>
    <cellStyle name="Normal 4 2 3 3" xfId="953"/>
    <cellStyle name="Normal 4 2 4" xfId="954"/>
    <cellStyle name="Normal 4 2 5" xfId="955"/>
    <cellStyle name="Normal 4 2_Federal Interest Calculation Su" xfId="956"/>
    <cellStyle name="Normal 4 3" xfId="957"/>
    <cellStyle name="Normal 4 3 2" xfId="958"/>
    <cellStyle name="Normal 4 3 2 2" xfId="959"/>
    <cellStyle name="Normal 4 3 2 3" xfId="960"/>
    <cellStyle name="Normal 4 3 3" xfId="961"/>
    <cellStyle name="Normal 4 3 4" xfId="962"/>
    <cellStyle name="Normal 4 3 5" xfId="963"/>
    <cellStyle name="Normal 4 3 6" xfId="964"/>
    <cellStyle name="Normal 4 4" xfId="965"/>
    <cellStyle name="Normal 4 4 2" xfId="966"/>
    <cellStyle name="Normal 4 4 2 2" xfId="967"/>
    <cellStyle name="Normal 4 4 2 3" xfId="968"/>
    <cellStyle name="Normal 4 4 3" xfId="969"/>
    <cellStyle name="Normal 4 4 4" xfId="970"/>
    <cellStyle name="Normal 4 5" xfId="971"/>
    <cellStyle name="Normal 4 6" xfId="972"/>
    <cellStyle name="Normal 4 7" xfId="973"/>
    <cellStyle name="Normal 4 8" xfId="974"/>
    <cellStyle name="Normal 4 9" xfId="975"/>
    <cellStyle name="Normal 4_710 CFS; full sustain + full expand (static-like)" xfId="976"/>
    <cellStyle name="Normal 40" xfId="977"/>
    <cellStyle name="Normal 41" xfId="978"/>
    <cellStyle name="Normal 42" xfId="979"/>
    <cellStyle name="Normal 43" xfId="980"/>
    <cellStyle name="Normal 44" xfId="981"/>
    <cellStyle name="Normal 45" xfId="982"/>
    <cellStyle name="Normal 46" xfId="983"/>
    <cellStyle name="Normal 47" xfId="984"/>
    <cellStyle name="Normal 48" xfId="985"/>
    <cellStyle name="Normal 49" xfId="986"/>
    <cellStyle name="Normal 49 2" xfId="987"/>
    <cellStyle name="Normal 49 3" xfId="988"/>
    <cellStyle name="Normal 49 3 2" xfId="989"/>
    <cellStyle name="Normal 49 3 3" xfId="990"/>
    <cellStyle name="Normal 5" xfId="991"/>
    <cellStyle name="Normal 5 2" xfId="992"/>
    <cellStyle name="Normal 5 2 2" xfId="993"/>
    <cellStyle name="Normal 5 2 3" xfId="994"/>
    <cellStyle name="Normal 5 3" xfId="995"/>
    <cellStyle name="Normal 5 4" xfId="996"/>
    <cellStyle name="Normal 50" xfId="997"/>
    <cellStyle name="Normal 50 2" xfId="998"/>
    <cellStyle name="Normal 50 3" xfId="999"/>
    <cellStyle name="Normal 51" xfId="1000"/>
    <cellStyle name="Normal 51 2" xfId="1001"/>
    <cellStyle name="Normal 52" xfId="1002"/>
    <cellStyle name="Normal 52 2" xfId="1003"/>
    <cellStyle name="Normal 53" xfId="1004"/>
    <cellStyle name="Normal 53 2" xfId="1005"/>
    <cellStyle name="Normal 54" xfId="1006"/>
    <cellStyle name="Normal 55" xfId="1007"/>
    <cellStyle name="Normal 55 2" xfId="1008"/>
    <cellStyle name="Normal 56" xfId="1009"/>
    <cellStyle name="Normal 57" xfId="1010"/>
    <cellStyle name="Normal 58" xfId="1011"/>
    <cellStyle name="Normal 59" xfId="1012"/>
    <cellStyle name="Normal 6" xfId="1013"/>
    <cellStyle name="Normal 6 2" xfId="1014"/>
    <cellStyle name="Normal 6 2 2" xfId="1015"/>
    <cellStyle name="Normal 6 2 3" xfId="1016"/>
    <cellStyle name="Normal 6 3" xfId="1017"/>
    <cellStyle name="Normal 6 4" xfId="1018"/>
    <cellStyle name="Normal 60" xfId="1019"/>
    <cellStyle name="Normal 60 2" xfId="1020"/>
    <cellStyle name="Normal 61" xfId="1021"/>
    <cellStyle name="Normal 62" xfId="1022"/>
    <cellStyle name="Normal 63" xfId="1023"/>
    <cellStyle name="Normal 64" xfId="1024"/>
    <cellStyle name="Normal 65" xfId="1025"/>
    <cellStyle name="Normal 66" xfId="1026"/>
    <cellStyle name="Normal 67" xfId="1027"/>
    <cellStyle name="Normal 68" xfId="1028"/>
    <cellStyle name="Normal 69" xfId="1029"/>
    <cellStyle name="Normal 7" xfId="1030"/>
    <cellStyle name="Normal 7 2" xfId="1031"/>
    <cellStyle name="Normal 7 2 2" xfId="1032"/>
    <cellStyle name="Normal 7 2 3" xfId="1033"/>
    <cellStyle name="Normal 7 3" xfId="1034"/>
    <cellStyle name="Normal 7 4" xfId="1035"/>
    <cellStyle name="Normal 70" xfId="1036"/>
    <cellStyle name="Normal 71" xfId="1037"/>
    <cellStyle name="Normal 72" xfId="1038"/>
    <cellStyle name="Normal 73" xfId="1039"/>
    <cellStyle name="Normal 73 2" xfId="1040"/>
    <cellStyle name="Normal 74" xfId="1041"/>
    <cellStyle name="Normal 74 2" xfId="1042"/>
    <cellStyle name="Normal 75" xfId="1043"/>
    <cellStyle name="Normal 75 2" xfId="1044"/>
    <cellStyle name="Normal 75 3" xfId="1045"/>
    <cellStyle name="Normal 76" xfId="1046"/>
    <cellStyle name="Normal 76 2" xfId="1047"/>
    <cellStyle name="Normal 76 3" xfId="1048"/>
    <cellStyle name="Normal 77" xfId="1049"/>
    <cellStyle name="Normal 77 2" xfId="1050"/>
    <cellStyle name="Normal 77 3" xfId="1051"/>
    <cellStyle name="Normal 78" xfId="1052"/>
    <cellStyle name="Normal 78 2" xfId="1053"/>
    <cellStyle name="Normal 79" xfId="1054"/>
    <cellStyle name="Normal 8" xfId="1055"/>
    <cellStyle name="Normal 8 2" xfId="1056"/>
    <cellStyle name="Normal 8 2 2" xfId="1057"/>
    <cellStyle name="Normal 8 2 3" xfId="1058"/>
    <cellStyle name="Normal 8 3" xfId="1059"/>
    <cellStyle name="Normal 8 4" xfId="1060"/>
    <cellStyle name="Normal 80" xfId="1061"/>
    <cellStyle name="Normal 81" xfId="1062"/>
    <cellStyle name="Normal 82" xfId="1063"/>
    <cellStyle name="Normal 83" xfId="1064"/>
    <cellStyle name="Normal 84" xfId="1065"/>
    <cellStyle name="Normal 85" xfId="1066"/>
    <cellStyle name="Normal 86" xfId="1067"/>
    <cellStyle name="Normal 87" xfId="1068"/>
    <cellStyle name="Normal 88" xfId="1069"/>
    <cellStyle name="Normal 89" xfId="1070"/>
    <cellStyle name="Normal 9" xfId="1071"/>
    <cellStyle name="Normal 9 2" xfId="1072"/>
    <cellStyle name="Normal 9 3" xfId="1073"/>
    <cellStyle name="Normal 90" xfId="1074"/>
    <cellStyle name="Normal 91" xfId="1075"/>
    <cellStyle name="Normal 92" xfId="1076"/>
    <cellStyle name="Normal 93" xfId="1077"/>
    <cellStyle name="Normal 94" xfId="1078"/>
    <cellStyle name="Normal 95" xfId="1079"/>
    <cellStyle name="Normal 96" xfId="1080"/>
    <cellStyle name="Normal 97" xfId="1081"/>
    <cellStyle name="Normal 98" xfId="1082"/>
    <cellStyle name="Normal 99" xfId="1083"/>
    <cellStyle name="Note" xfId="1084" builtinId="10" customBuiltin="1"/>
    <cellStyle name="Note 2" xfId="1085"/>
    <cellStyle name="Note 2 2" xfId="1086"/>
    <cellStyle name="Note 2 3" xfId="1087"/>
    <cellStyle name="Note 2 4" xfId="1088"/>
    <cellStyle name="Note 2_QC" xfId="1089"/>
    <cellStyle name="Note 3" xfId="1090"/>
    <cellStyle name="Note 3 2" xfId="1091"/>
    <cellStyle name="Note 3 2 2" xfId="1092"/>
    <cellStyle name="Note 3 2 3" xfId="1093"/>
    <cellStyle name="Note 4" xfId="1094"/>
    <cellStyle name="Output" xfId="1095" builtinId="21" customBuiltin="1"/>
    <cellStyle name="Output 2" xfId="1096"/>
    <cellStyle name="Output 2 2" xfId="1097"/>
    <cellStyle name="Output 2 2 2" xfId="1098"/>
    <cellStyle name="Output 2 2 3" xfId="1099"/>
    <cellStyle name="Output 2 2 4" xfId="1100"/>
    <cellStyle name="Output 2 3" xfId="1101"/>
    <cellStyle name="Output 2 4" xfId="1102"/>
    <cellStyle name="Output 2_QC" xfId="1103"/>
    <cellStyle name="Output 3" xfId="1104"/>
    <cellStyle name="Output 4" xfId="1105"/>
    <cellStyle name="Page Number" xfId="1106"/>
    <cellStyle name="Percen - Style2" xfId="1107"/>
    <cellStyle name="Percent" xfId="1108" builtinId="5"/>
    <cellStyle name="Percent [2]" xfId="1109"/>
    <cellStyle name="Percent 10" xfId="1110"/>
    <cellStyle name="Percent 10 2" xfId="1111"/>
    <cellStyle name="Percent 10 3" xfId="1112"/>
    <cellStyle name="Percent 100" xfId="1113"/>
    <cellStyle name="Percent 100 2" xfId="1114"/>
    <cellStyle name="Percent 101" xfId="1115"/>
    <cellStyle name="Percent 101 2" xfId="1116"/>
    <cellStyle name="Percent 102" xfId="1117"/>
    <cellStyle name="Percent 102 2" xfId="1118"/>
    <cellStyle name="Percent 103" xfId="1119"/>
    <cellStyle name="Percent 103 2" xfId="1120"/>
    <cellStyle name="Percent 104" xfId="1121"/>
    <cellStyle name="Percent 104 2" xfId="1122"/>
    <cellStyle name="Percent 105" xfId="1123"/>
    <cellStyle name="Percent 105 2" xfId="1124"/>
    <cellStyle name="Percent 106" xfId="1125"/>
    <cellStyle name="Percent 107" xfId="1126"/>
    <cellStyle name="Percent 108" xfId="1127"/>
    <cellStyle name="Percent 109" xfId="1128"/>
    <cellStyle name="Percent 11" xfId="1129"/>
    <cellStyle name="Percent 11 2" xfId="1130"/>
    <cellStyle name="Percent 11 3" xfId="1131"/>
    <cellStyle name="Percent 110" xfId="1132"/>
    <cellStyle name="Percent 111" xfId="1133"/>
    <cellStyle name="Percent 112" xfId="1134"/>
    <cellStyle name="Percent 113" xfId="1135"/>
    <cellStyle name="Percent 114" xfId="1136"/>
    <cellStyle name="Percent 115" xfId="1137"/>
    <cellStyle name="Percent 116" xfId="1138"/>
    <cellStyle name="Percent 117" xfId="1139"/>
    <cellStyle name="Percent 118" xfId="1140"/>
    <cellStyle name="Percent 119" xfId="1141"/>
    <cellStyle name="Percent 12" xfId="1142"/>
    <cellStyle name="Percent 120" xfId="1143"/>
    <cellStyle name="Percent 121" xfId="1144"/>
    <cellStyle name="Percent 122" xfId="1145"/>
    <cellStyle name="Percent 123" xfId="1146"/>
    <cellStyle name="Percent 124" xfId="1147"/>
    <cellStyle name="Percent 125" xfId="1148"/>
    <cellStyle name="Percent 126" xfId="1149"/>
    <cellStyle name="Percent 127" xfId="1150"/>
    <cellStyle name="Percent 128" xfId="1151"/>
    <cellStyle name="Percent 129" xfId="1152"/>
    <cellStyle name="Percent 13" xfId="1153"/>
    <cellStyle name="Percent 13 2" xfId="1154"/>
    <cellStyle name="Percent 130" xfId="1155"/>
    <cellStyle name="Percent 131" xfId="1156"/>
    <cellStyle name="Percent 132" xfId="1157"/>
    <cellStyle name="Percent 132 2" xfId="1158"/>
    <cellStyle name="Percent 133" xfId="1159"/>
    <cellStyle name="Percent 133 2" xfId="1160"/>
    <cellStyle name="Percent 134" xfId="1161"/>
    <cellStyle name="Percent 134 2" xfId="1162"/>
    <cellStyle name="Percent 135" xfId="1163"/>
    <cellStyle name="Percent 135 2" xfId="1164"/>
    <cellStyle name="Percent 135 3" xfId="1165"/>
    <cellStyle name="Percent 135 3 2" xfId="1166"/>
    <cellStyle name="Percent 135 3 3" xfId="1167"/>
    <cellStyle name="Percent 136" xfId="1168"/>
    <cellStyle name="Percent 137" xfId="1169"/>
    <cellStyle name="Percent 138" xfId="1170"/>
    <cellStyle name="Percent 139" xfId="1171"/>
    <cellStyle name="Percent 14" xfId="1172"/>
    <cellStyle name="Percent 140" xfId="1173"/>
    <cellStyle name="Percent 141" xfId="1174"/>
    <cellStyle name="Percent 142" xfId="1175"/>
    <cellStyle name="Percent 143" xfId="1176"/>
    <cellStyle name="Percent 144" xfId="1177"/>
    <cellStyle name="Percent 145" xfId="1178"/>
    <cellStyle name="Percent 145 2" xfId="1179"/>
    <cellStyle name="Percent 145 2 2" xfId="1180"/>
    <cellStyle name="Percent 145 3" xfId="1181"/>
    <cellStyle name="Percent 145 4" xfId="1182"/>
    <cellStyle name="Percent 145 4 2" xfId="1183"/>
    <cellStyle name="Percent 145 4 3" xfId="1184"/>
    <cellStyle name="Percent 146" xfId="1185"/>
    <cellStyle name="Percent 147" xfId="1186"/>
    <cellStyle name="Percent 147 2" xfId="1187"/>
    <cellStyle name="Percent 148" xfId="1188"/>
    <cellStyle name="Percent 148 2" xfId="1189"/>
    <cellStyle name="Percent 149" xfId="1190"/>
    <cellStyle name="Percent 149 2" xfId="1191"/>
    <cellStyle name="Percent 15" xfId="1192"/>
    <cellStyle name="Percent 150" xfId="1193"/>
    <cellStyle name="Percent 150 2" xfId="1194"/>
    <cellStyle name="Percent 151" xfId="1195"/>
    <cellStyle name="Percent 152" xfId="1196"/>
    <cellStyle name="Percent 153" xfId="1197"/>
    <cellStyle name="Percent 154" xfId="1198"/>
    <cellStyle name="Percent 155" xfId="1199"/>
    <cellStyle name="Percent 156" xfId="1200"/>
    <cellStyle name="Percent 157" xfId="1201"/>
    <cellStyle name="Percent 158" xfId="1202"/>
    <cellStyle name="Percent 159" xfId="1203"/>
    <cellStyle name="Percent 16" xfId="1204"/>
    <cellStyle name="Percent 160" xfId="1205"/>
    <cellStyle name="Percent 161" xfId="1206"/>
    <cellStyle name="Percent 162" xfId="1207"/>
    <cellStyle name="Percent 163" xfId="1208"/>
    <cellStyle name="Percent 164" xfId="1209"/>
    <cellStyle name="Percent 165" xfId="1210"/>
    <cellStyle name="Percent 166" xfId="1211"/>
    <cellStyle name="Percent 166 2" xfId="1212"/>
    <cellStyle name="Percent 167" xfId="1213"/>
    <cellStyle name="Percent 168" xfId="1214"/>
    <cellStyle name="Percent 168 2" xfId="1215"/>
    <cellStyle name="Percent 169" xfId="1216"/>
    <cellStyle name="Percent 169 2" xfId="1217"/>
    <cellStyle name="Percent 17" xfId="1218"/>
    <cellStyle name="Percent 170" xfId="1219"/>
    <cellStyle name="Percent 171" xfId="1220"/>
    <cellStyle name="Percent 172" xfId="1221"/>
    <cellStyle name="Percent 173" xfId="1222"/>
    <cellStyle name="Percent 174" xfId="1223"/>
    <cellStyle name="Percent 175" xfId="1224"/>
    <cellStyle name="Percent 176" xfId="1225"/>
    <cellStyle name="Percent 177" xfId="1226"/>
    <cellStyle name="Percent 178" xfId="1227"/>
    <cellStyle name="Percent 179" xfId="1228"/>
    <cellStyle name="Percent 18" xfId="1229"/>
    <cellStyle name="Percent 18 2" xfId="1230"/>
    <cellStyle name="Percent 18 3" xfId="1231"/>
    <cellStyle name="Percent 18 3 2" xfId="1232"/>
    <cellStyle name="Percent 18 3 3" xfId="1233"/>
    <cellStyle name="Percent 18 3 3 2" xfId="1234"/>
    <cellStyle name="Percent 18 3 3 3" xfId="1235"/>
    <cellStyle name="Percent 180" xfId="1236"/>
    <cellStyle name="Percent 181" xfId="1237"/>
    <cellStyle name="Percent 182" xfId="1238"/>
    <cellStyle name="Percent 183" xfId="1239"/>
    <cellStyle name="Percent 184" xfId="1240"/>
    <cellStyle name="Percent 185" xfId="1241"/>
    <cellStyle name="Percent 186" xfId="1242"/>
    <cellStyle name="Percent 187" xfId="1243"/>
    <cellStyle name="Percent 188" xfId="1244"/>
    <cellStyle name="Percent 189" xfId="1245"/>
    <cellStyle name="Percent 19" xfId="1246"/>
    <cellStyle name="Percent 190" xfId="1247"/>
    <cellStyle name="Percent 191" xfId="1248"/>
    <cellStyle name="Percent 192" xfId="1249"/>
    <cellStyle name="Percent 193" xfId="1477"/>
    <cellStyle name="Percent 2" xfId="1250"/>
    <cellStyle name="Percent 2 2" xfId="1251"/>
    <cellStyle name="Percent 2 2 2" xfId="1252"/>
    <cellStyle name="Percent 2 2 2 2" xfId="1253"/>
    <cellStyle name="Percent 2 2 2 2 2" xfId="1254"/>
    <cellStyle name="Percent 2 2 2 2 3" xfId="1255"/>
    <cellStyle name="Percent 2 2 2 2 3 2" xfId="1256"/>
    <cellStyle name="Percent 2 2 2 2 3 3" xfId="1257"/>
    <cellStyle name="Percent 2 2 2 3" xfId="1258"/>
    <cellStyle name="Percent 2 2 2 4" xfId="1259"/>
    <cellStyle name="Percent 2 2 2 4 2" xfId="1260"/>
    <cellStyle name="Percent 2 2 2 4 3" xfId="1261"/>
    <cellStyle name="Percent 2 2 2 5" xfId="1262"/>
    <cellStyle name="Percent 2 2 3" xfId="1263"/>
    <cellStyle name="Percent 2 2 3 2" xfId="1264"/>
    <cellStyle name="Percent 2 2 4" xfId="1265"/>
    <cellStyle name="Percent 2 2 4 2" xfId="1266"/>
    <cellStyle name="Percent 2 2 5" xfId="1267"/>
    <cellStyle name="Percent 2 2 5 2" xfId="1268"/>
    <cellStyle name="Percent 2 2 5 3" xfId="1269"/>
    <cellStyle name="Percent 2 2 5 3 2" xfId="1270"/>
    <cellStyle name="Percent 2 2 5 3 3" xfId="1271"/>
    <cellStyle name="Percent 2 2 6" xfId="1272"/>
    <cellStyle name="Percent 2 3" xfId="1273"/>
    <cellStyle name="Percent 20" xfId="1274"/>
    <cellStyle name="Percent 20 2" xfId="1275"/>
    <cellStyle name="Percent 20 3" xfId="1276"/>
    <cellStyle name="Percent 20 3 2" xfId="1277"/>
    <cellStyle name="Percent 20 3 3" xfId="1278"/>
    <cellStyle name="Percent 20 3 3 2" xfId="1279"/>
    <cellStyle name="Percent 20 3 3 3" xfId="1280"/>
    <cellStyle name="Percent 21" xfId="1281"/>
    <cellStyle name="Percent 22" xfId="1282"/>
    <cellStyle name="Percent 23" xfId="1283"/>
    <cellStyle name="Percent 24" xfId="1284"/>
    <cellStyle name="Percent 25" xfId="1285"/>
    <cellStyle name="Percent 26" xfId="1286"/>
    <cellStyle name="Percent 27" xfId="1287"/>
    <cellStyle name="Percent 28" xfId="1288"/>
    <cellStyle name="Percent 29" xfId="1289"/>
    <cellStyle name="Percent 3" xfId="1290"/>
    <cellStyle name="Percent 3 2" xfId="1291"/>
    <cellStyle name="Percent 3 2 2" xfId="1292"/>
    <cellStyle name="Percent 3 2 3" xfId="1293"/>
    <cellStyle name="Percent 3 2 4" xfId="1294"/>
    <cellStyle name="Percent 3 2 4 2" xfId="1295"/>
    <cellStyle name="Percent 3 2 4 3" xfId="1296"/>
    <cellStyle name="Percent 3 2 5" xfId="1297"/>
    <cellStyle name="Percent 3 3" xfId="1298"/>
    <cellStyle name="Percent 30" xfId="1299"/>
    <cellStyle name="Percent 31" xfId="1300"/>
    <cellStyle name="Percent 32" xfId="1301"/>
    <cellStyle name="Percent 33" xfId="1302"/>
    <cellStyle name="Percent 34" xfId="1303"/>
    <cellStyle name="Percent 35" xfId="1304"/>
    <cellStyle name="Percent 35 2" xfId="1305"/>
    <cellStyle name="Percent 35 3" xfId="1306"/>
    <cellStyle name="Percent 36" xfId="1307"/>
    <cellStyle name="Percent 36 2" xfId="1308"/>
    <cellStyle name="Percent 36 3" xfId="1309"/>
    <cellStyle name="Percent 37" xfId="1310"/>
    <cellStyle name="Percent 37 2" xfId="1311"/>
    <cellStyle name="Percent 38" xfId="1312"/>
    <cellStyle name="Percent 39" xfId="1313"/>
    <cellStyle name="Percent 4" xfId="1314"/>
    <cellStyle name="Percent 4 2" xfId="1315"/>
    <cellStyle name="Percent 40" xfId="1316"/>
    <cellStyle name="Percent 40 2" xfId="1317"/>
    <cellStyle name="Percent 41" xfId="1318"/>
    <cellStyle name="Percent 42" xfId="1319"/>
    <cellStyle name="Percent 43" xfId="1320"/>
    <cellStyle name="Percent 44" xfId="1321"/>
    <cellStyle name="Percent 45" xfId="1322"/>
    <cellStyle name="Percent 45 2" xfId="1323"/>
    <cellStyle name="Percent 46" xfId="1324"/>
    <cellStyle name="Percent 47" xfId="1325"/>
    <cellStyle name="Percent 48" xfId="1326"/>
    <cellStyle name="Percent 49" xfId="1327"/>
    <cellStyle name="Percent 5" xfId="1328"/>
    <cellStyle name="Percent 50" xfId="1329"/>
    <cellStyle name="Percent 51" xfId="1330"/>
    <cellStyle name="Percent 52" xfId="1331"/>
    <cellStyle name="Percent 52 2" xfId="1332"/>
    <cellStyle name="Percent 53" xfId="1333"/>
    <cellStyle name="Percent 53 2" xfId="1334"/>
    <cellStyle name="Percent 54" xfId="1335"/>
    <cellStyle name="Percent 54 2" xfId="1336"/>
    <cellStyle name="Percent 55" xfId="1337"/>
    <cellStyle name="Percent 55 2" xfId="1338"/>
    <cellStyle name="Percent 56" xfId="1339"/>
    <cellStyle name="Percent 57" xfId="1340"/>
    <cellStyle name="Percent 58" xfId="1341"/>
    <cellStyle name="Percent 59" xfId="1342"/>
    <cellStyle name="Percent 6" xfId="1343"/>
    <cellStyle name="Percent 60" xfId="1344"/>
    <cellStyle name="Percent 61" xfId="1345"/>
    <cellStyle name="Percent 62" xfId="1346"/>
    <cellStyle name="Percent 63" xfId="1347"/>
    <cellStyle name="Percent 64" xfId="1348"/>
    <cellStyle name="Percent 65" xfId="1349"/>
    <cellStyle name="Percent 66" xfId="1350"/>
    <cellStyle name="Percent 67" xfId="1351"/>
    <cellStyle name="Percent 68" xfId="1352"/>
    <cellStyle name="Percent 69" xfId="1353"/>
    <cellStyle name="Percent 7" xfId="1354"/>
    <cellStyle name="Percent 70" xfId="1355"/>
    <cellStyle name="Percent 71" xfId="1356"/>
    <cellStyle name="Percent 72" xfId="1357"/>
    <cellStyle name="Percent 72 2" xfId="1358"/>
    <cellStyle name="Percent 73" xfId="1359"/>
    <cellStyle name="Percent 73 2" xfId="1360"/>
    <cellStyle name="Percent 74" xfId="1361"/>
    <cellStyle name="Percent 74 2" xfId="1362"/>
    <cellStyle name="Percent 75" xfId="1363"/>
    <cellStyle name="Percent 75 2" xfId="1364"/>
    <cellStyle name="Percent 76" xfId="1365"/>
    <cellStyle name="Percent 76 2" xfId="1366"/>
    <cellStyle name="Percent 77" xfId="1367"/>
    <cellStyle name="Percent 77 2" xfId="1368"/>
    <cellStyle name="Percent 78" xfId="1369"/>
    <cellStyle name="Percent 78 2" xfId="1370"/>
    <cellStyle name="Percent 79" xfId="1371"/>
    <cellStyle name="Percent 8" xfId="1372"/>
    <cellStyle name="Percent 80" xfId="1373"/>
    <cellStyle name="Percent 81" xfId="1374"/>
    <cellStyle name="Percent 82" xfId="1375"/>
    <cellStyle name="Percent 83" xfId="1376"/>
    <cellStyle name="Percent 84" xfId="1377"/>
    <cellStyle name="Percent 85" xfId="1378"/>
    <cellStyle name="Percent 86" xfId="1379"/>
    <cellStyle name="Percent 87" xfId="1380"/>
    <cellStyle name="Percent 88" xfId="1381"/>
    <cellStyle name="Percent 89" xfId="1382"/>
    <cellStyle name="Percent 9" xfId="1383"/>
    <cellStyle name="Percent 9 2" xfId="1384"/>
    <cellStyle name="Percent 9 3" xfId="1385"/>
    <cellStyle name="Percent 90" xfId="1386"/>
    <cellStyle name="Percent 91" xfId="1387"/>
    <cellStyle name="Percent 92" xfId="1388"/>
    <cellStyle name="Percent 93" xfId="1389"/>
    <cellStyle name="Percent 94" xfId="1390"/>
    <cellStyle name="Percent 94 2" xfId="1391"/>
    <cellStyle name="Percent 95" xfId="1392"/>
    <cellStyle name="Percent 95 2" xfId="1393"/>
    <cellStyle name="Percent 96" xfId="1394"/>
    <cellStyle name="Percent 96 2" xfId="1395"/>
    <cellStyle name="Percent 97" xfId="1396"/>
    <cellStyle name="Percent 97 2" xfId="1397"/>
    <cellStyle name="Percent 98" xfId="1398"/>
    <cellStyle name="Percent 98 2" xfId="1399"/>
    <cellStyle name="Percent 99" xfId="1400"/>
    <cellStyle name="Percent 99 2" xfId="1401"/>
    <cellStyle name="PSChar" xfId="1402"/>
    <cellStyle name="PSChar 2" xfId="1403"/>
    <cellStyle name="PSChar 3" xfId="1404"/>
    <cellStyle name="PSDate" xfId="1405"/>
    <cellStyle name="PSDate 2" xfId="1406"/>
    <cellStyle name="PSDate 3" xfId="1407"/>
    <cellStyle name="PSDec" xfId="1408"/>
    <cellStyle name="PSDec 2" xfId="1409"/>
    <cellStyle name="PSDec 3" xfId="1410"/>
    <cellStyle name="PSHeading" xfId="1411"/>
    <cellStyle name="PSHeading 2" xfId="1412"/>
    <cellStyle name="PSHeading 3" xfId="1413"/>
    <cellStyle name="PSHeading_BP-14 Preliminary Capital Forecast NonBudget System_5 2 13" xfId="1414"/>
    <cellStyle name="PSInt" xfId="1415"/>
    <cellStyle name="PSInt 2" xfId="1416"/>
    <cellStyle name="PSInt 3" xfId="1417"/>
    <cellStyle name="PSSpacer" xfId="1418"/>
    <cellStyle name="PSSpacer 2" xfId="1419"/>
    <cellStyle name="PSSpacer 3" xfId="1420"/>
    <cellStyle name="Rate" xfId="1421"/>
    <cellStyle name="Reference" xfId="1422"/>
    <cellStyle name="RevList" xfId="1423"/>
    <cellStyle name="round100" xfId="1424"/>
    <cellStyle name="SectionBreak" xfId="1425"/>
    <cellStyle name="shade" xfId="1426"/>
    <cellStyle name="StmtTtl1" xfId="1427"/>
    <cellStyle name="StmtTtl2" xfId="1428"/>
    <cellStyle name="STYL1 - Style1" xfId="1429"/>
    <cellStyle name="Style 1" xfId="1430"/>
    <cellStyle name="Subtotal" xfId="1431"/>
    <cellStyle name="Table Head" xfId="1432"/>
    <cellStyle name="Table Head Aligned" xfId="1433"/>
    <cellStyle name="Table Head Blue" xfId="1434"/>
    <cellStyle name="Table Head Green" xfId="1435"/>
    <cellStyle name="Table Heading" xfId="1436"/>
    <cellStyle name="Table Title" xfId="1437"/>
    <cellStyle name="Table Units" xfId="1438"/>
    <cellStyle name="Title" xfId="1439" builtinId="15" customBuiltin="1"/>
    <cellStyle name="Title 2" xfId="1440"/>
    <cellStyle name="Title 2 2" xfId="1441"/>
    <cellStyle name="Title 2 2 2" xfId="1442"/>
    <cellStyle name="Title 2 2 3" xfId="1443"/>
    <cellStyle name="Title 2 2 4" xfId="1444"/>
    <cellStyle name="Title 2 3" xfId="1445"/>
    <cellStyle name="Title 2 4" xfId="1446"/>
    <cellStyle name="Title 2 5" xfId="1447"/>
    <cellStyle name="Title 3" xfId="1448"/>
    <cellStyle name="Title 4" xfId="1449"/>
    <cellStyle name="Title: Minor" xfId="1450"/>
    <cellStyle name="Title: Worksheet" xfId="1451"/>
    <cellStyle name="Total" xfId="1452" builtinId="25" customBuiltin="1"/>
    <cellStyle name="Total 2" xfId="1453"/>
    <cellStyle name="Total 2 2" xfId="1454"/>
    <cellStyle name="Total 2 2 2" xfId="1455"/>
    <cellStyle name="Total 2 2 3" xfId="1456"/>
    <cellStyle name="Total 2 2 4" xfId="1457"/>
    <cellStyle name="Total 2 3" xfId="1458"/>
    <cellStyle name="Total 2 4" xfId="1459"/>
    <cellStyle name="Total 2 5" xfId="1460"/>
    <cellStyle name="Total 2_QC" xfId="1461"/>
    <cellStyle name="Total 3" xfId="1462"/>
    <cellStyle name="Total 4" xfId="1463"/>
    <cellStyle name="v" xfId="1464"/>
    <cellStyle name="Warning Text" xfId="1465" builtinId="11" customBuiltin="1"/>
    <cellStyle name="Warning Text 2" xfId="1466"/>
    <cellStyle name="Warning Text 2 2" xfId="1467"/>
    <cellStyle name="Warning Text 2 2 2" xfId="1468"/>
    <cellStyle name="Warning Text 2 3" xfId="1469"/>
    <cellStyle name="Warning Text 2 4" xfId="1470"/>
    <cellStyle name="Warning Text 2 5" xfId="1471"/>
    <cellStyle name="Warning Text 3" xfId="1472"/>
    <cellStyle name="Warning Text 4" xfId="1473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CC"/>
      <color rgb="FFE6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438150</xdr:colOff>
      <xdr:row>5</xdr:row>
      <xdr:rowOff>95250</xdr:rowOff>
    </xdr:from>
    <xdr:to>
      <xdr:col>35</xdr:col>
      <xdr:colOff>457200</xdr:colOff>
      <xdr:row>5</xdr:row>
      <xdr:rowOff>95250</xdr:rowOff>
    </xdr:to>
    <xdr:cxnSp macro="">
      <xdr:nvCxnSpPr>
        <xdr:cNvPr id="4" name="Straight Arrow Connector 3"/>
        <xdr:cNvCxnSpPr/>
      </xdr:nvCxnSpPr>
      <xdr:spPr>
        <a:xfrm>
          <a:off x="9896475" y="904875"/>
          <a:ext cx="1847850" cy="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Inital%20Proposal/Inputs/Premium%20and%20COI%20Amortization%20FY21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Estimating%20Fund%20Earnin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Power%20Investments%20FP%20CRFM%20over%2050%20ye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.bpa.gov\appdata\mypc_userdata\UserData\Users\AXL5399\Documents\depreciate%20nonfed%20revised%20F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CGS%20decomm%20amortization%20&amp;%20accre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Final%20Proposal/Inputs/adjustments%20to%20depreciation%20&amp;%20plant%20for%20levera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Final%20Proposal/Inputs/Capital%20Input%20file%20for%20final%20proposal_LF%20Kyle%20Hardy%204.21.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Final%20Proposal/Inputs/CRFM%20upd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Final%20Proposal/Inputs/IPR%20expense%20data%20from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2/Initial%20Proposal/Power/inputs/FY20%20CRFM%2020-30%20PIS%20Estimates_IC_16Jun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Pro%20Forma%20Revenue%20Test_FP_v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Revenue%20Test_FP_v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DF%20AFUDC%20FP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inputs/P3327%20BP22%20FP%20RCD2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EN"/>
      <sheetName val="Cost of Issuance EN"/>
    </sheetNames>
    <sheetDataSet>
      <sheetData sheetId="0">
        <row r="9">
          <cell r="D9">
            <v>7561588.7000000002</v>
          </cell>
        </row>
        <row r="10">
          <cell r="D10">
            <v>7490785.3200000003</v>
          </cell>
        </row>
      </sheetData>
      <sheetData sheetId="1">
        <row r="9">
          <cell r="D9">
            <v>168604.68</v>
          </cell>
        </row>
        <row r="10">
          <cell r="D10">
            <v>168604.68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arnings"/>
      <sheetName val="Sheet3"/>
    </sheetNames>
    <sheetDataSet>
      <sheetData sheetId="0">
        <row r="17">
          <cell r="E17">
            <v>9857.4198361257986</v>
          </cell>
          <cell r="F17">
            <v>10198.165340933187</v>
          </cell>
        </row>
        <row r="20">
          <cell r="E20">
            <v>3398.7278184283846</v>
          </cell>
          <cell r="F20">
            <v>3516.2130473672032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ies"/>
      <sheetName val="Updates"/>
      <sheetName val="Assumptions"/>
      <sheetName val="ASPRJHistorical Inputs"/>
      <sheetName val="Investment Base"/>
      <sheetName val="PS General Plant"/>
      <sheetName val="F&amp;W"/>
      <sheetName val="Legacy Conservation"/>
      <sheetName val="Conservation Acquisitions 12yr"/>
      <sheetName val="COE"/>
      <sheetName val="CRFM Reg Asset"/>
      <sheetName val="USBR"/>
      <sheetName val="TBL Paid Investment"/>
      <sheetName val="CIR capital"/>
      <sheetName val="Direct Funding PIS "/>
      <sheetName val="Conservation Acquisitions 5yr"/>
      <sheetName val="ConAug"/>
      <sheetName val="PIS"/>
    </sheetNames>
    <sheetDataSet>
      <sheetData sheetId="0">
        <row r="5">
          <cell r="I5"/>
          <cell r="J5">
            <v>6609</v>
          </cell>
          <cell r="K5">
            <v>4685</v>
          </cell>
          <cell r="L5">
            <v>4222</v>
          </cell>
        </row>
        <row r="6">
          <cell r="I6"/>
          <cell r="J6">
            <v>103708</v>
          </cell>
          <cell r="K6">
            <v>106932</v>
          </cell>
          <cell r="L6">
            <v>109967</v>
          </cell>
        </row>
        <row r="7">
          <cell r="I7"/>
          <cell r="J7">
            <v>28852.653333333335</v>
          </cell>
          <cell r="K7">
            <v>29331.653333333335</v>
          </cell>
          <cell r="L7">
            <v>29965.653333333335</v>
          </cell>
        </row>
        <row r="9">
          <cell r="I9"/>
          <cell r="J9"/>
          <cell r="K9"/>
          <cell r="L9"/>
        </row>
        <row r="10">
          <cell r="I10"/>
          <cell r="J10">
            <v>0</v>
          </cell>
          <cell r="K10">
            <v>0</v>
          </cell>
          <cell r="L10">
            <v>0</v>
          </cell>
        </row>
        <row r="11">
          <cell r="I11"/>
          <cell r="J11">
            <v>42078.384870000002</v>
          </cell>
          <cell r="K11">
            <v>42078.384189999982</v>
          </cell>
          <cell r="L11">
            <v>32975.233590000011</v>
          </cell>
        </row>
        <row r="12">
          <cell r="I12"/>
          <cell r="J12">
            <v>11799</v>
          </cell>
          <cell r="K12">
            <v>18387</v>
          </cell>
          <cell r="L12">
            <v>18387</v>
          </cell>
        </row>
        <row r="13">
          <cell r="I13"/>
          <cell r="J13">
            <v>34516.915790666673</v>
          </cell>
          <cell r="K13">
            <v>35275.198857333336</v>
          </cell>
          <cell r="L13">
            <v>35911.132190666671</v>
          </cell>
        </row>
        <row r="19">
          <cell r="I19">
            <v>23</v>
          </cell>
          <cell r="J19">
            <v>23</v>
          </cell>
          <cell r="K19">
            <v>23</v>
          </cell>
          <cell r="L19">
            <v>23</v>
          </cell>
        </row>
        <row r="20">
          <cell r="I20">
            <v>3321</v>
          </cell>
          <cell r="J20">
            <v>3316</v>
          </cell>
          <cell r="K20">
            <v>3316</v>
          </cell>
          <cell r="L20">
            <v>3316</v>
          </cell>
        </row>
      </sheetData>
      <sheetData sheetId="1"/>
      <sheetData sheetId="2"/>
      <sheetData sheetId="3"/>
      <sheetData sheetId="4">
        <row r="12">
          <cell r="F12">
            <v>8138284.698514509</v>
          </cell>
          <cell r="M12">
            <v>8366463.2136656651</v>
          </cell>
        </row>
        <row r="25">
          <cell r="F25">
            <v>2221926.5761705539</v>
          </cell>
          <cell r="M25">
            <v>2272744.3548117583</v>
          </cell>
        </row>
        <row r="35">
          <cell r="F35">
            <v>484750</v>
          </cell>
          <cell r="M35">
            <v>484750</v>
          </cell>
        </row>
        <row r="39">
          <cell r="F39">
            <v>525886.98285999999</v>
          </cell>
          <cell r="M39">
            <v>542133.98285999999</v>
          </cell>
        </row>
        <row r="43">
          <cell r="F43">
            <v>78976.816999999995</v>
          </cell>
          <cell r="M43">
            <v>84291.816999999995</v>
          </cell>
        </row>
      </sheetData>
      <sheetData sheetId="5">
        <row r="12">
          <cell r="M12">
            <v>89257.816999999995</v>
          </cell>
        </row>
      </sheetData>
      <sheetData sheetId="6">
        <row r="42">
          <cell r="J42">
            <v>251946.169964</v>
          </cell>
        </row>
      </sheetData>
      <sheetData sheetId="7"/>
      <sheetData sheetId="8">
        <row r="17">
          <cell r="E17">
            <v>42078.384189999982</v>
          </cell>
        </row>
      </sheetData>
      <sheetData sheetId="9">
        <row r="7">
          <cell r="AH7"/>
          <cell r="AL7">
            <v>36</v>
          </cell>
        </row>
      </sheetData>
      <sheetData sheetId="10"/>
      <sheetData sheetId="11">
        <row r="6">
          <cell r="AB6">
            <v>11579.870624674611</v>
          </cell>
        </row>
        <row r="8">
          <cell r="AO8">
            <v>1672319.0203872621</v>
          </cell>
          <cell r="AS8">
            <v>1707362.7724590735</v>
          </cell>
        </row>
        <row r="9">
          <cell r="AE9">
            <v>1267.4133333333334</v>
          </cell>
          <cell r="AI9">
            <v>1328.2</v>
          </cell>
          <cell r="AO9">
            <v>99615</v>
          </cell>
          <cell r="AS9">
            <v>99615</v>
          </cell>
        </row>
        <row r="14">
          <cell r="AO14">
            <v>170179.9020907965</v>
          </cell>
          <cell r="AS14">
            <v>178106.69320680012</v>
          </cell>
        </row>
        <row r="15">
          <cell r="AE15">
            <v>29.766666666666666</v>
          </cell>
          <cell r="AI15">
            <v>33.333333333333336</v>
          </cell>
          <cell r="AO15">
            <v>2500</v>
          </cell>
          <cell r="AS15">
            <v>2500</v>
          </cell>
        </row>
        <row r="18">
          <cell r="AO18">
            <v>181571.24629138343</v>
          </cell>
          <cell r="AS18">
            <v>181544.59869138343</v>
          </cell>
        </row>
        <row r="19">
          <cell r="AE19">
            <v>33.94</v>
          </cell>
          <cell r="AI19">
            <v>41.12</v>
          </cell>
          <cell r="AO19">
            <v>3084</v>
          </cell>
          <cell r="AS19">
            <v>3084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S"/>
      <sheetName val="WNP 1"/>
      <sheetName val="WNP 3"/>
      <sheetName val="N. Wasco"/>
      <sheetName val="Cowlitz Falls"/>
      <sheetName val="Non-Fed Summary of Principal"/>
      <sheetName val="TVA fuel purchases"/>
    </sheetNames>
    <sheetDataSet>
      <sheetData sheetId="0">
        <row r="3">
          <cell r="C3">
            <v>150332.93040956871</v>
          </cell>
          <cell r="D3">
            <v>149004.06309605573</v>
          </cell>
          <cell r="E3">
            <v>153890.39494765675</v>
          </cell>
        </row>
        <row r="4">
          <cell r="C4">
            <v>32754.639175257733</v>
          </cell>
          <cell r="D4">
            <v>32754.639175257733</v>
          </cell>
          <cell r="E4">
            <v>32754.639175257733</v>
          </cell>
        </row>
        <row r="5">
          <cell r="C5">
            <v>37637.319587628866</v>
          </cell>
          <cell r="D5">
            <v>37637.319587628866</v>
          </cell>
          <cell r="E5">
            <v>37637.319587628866</v>
          </cell>
        </row>
        <row r="6">
          <cell r="C6">
            <v>1655.8333333333333</v>
          </cell>
          <cell r="D6">
            <v>1655.8333333333333</v>
          </cell>
          <cell r="E6">
            <v>1655.8333333333333</v>
          </cell>
        </row>
        <row r="7">
          <cell r="C7">
            <v>4108</v>
          </cell>
          <cell r="D7">
            <v>4108</v>
          </cell>
          <cell r="E7">
            <v>4108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ON Summary"/>
      <sheetName val="SAFSTOR Summary"/>
      <sheetName val="DECON Calc"/>
      <sheetName val="SAFSTOR Calc"/>
      <sheetName val="Assumptions"/>
      <sheetName val="Rate Calc"/>
      <sheetName val="DECON Expen"/>
      <sheetName val="Old CGS Study"/>
      <sheetName val="Old ISFSI Study"/>
      <sheetName val="Accretion"/>
      <sheetName val="GAAP JEs"/>
      <sheetName val="SAFSTOR Expen"/>
      <sheetName val="TLG_DECON"/>
      <sheetName val="TLG_SAFSTOR"/>
      <sheetName val="TLG_Utility Labor"/>
      <sheetName val="2012 Cashflow"/>
      <sheetName val="2012 Layer Bal"/>
      <sheetName val="2012 Disc Rate"/>
      <sheetName val="Reg Liab Bal"/>
      <sheetName val="Alternative JEs"/>
      <sheetName val="Melike's DECON"/>
    </sheetNames>
    <sheetDataSet>
      <sheetData sheetId="0">
        <row r="18">
          <cell r="C18">
            <v>33737.850966570033</v>
          </cell>
          <cell r="D18">
            <v>35213.063821739612</v>
          </cell>
          <cell r="E18">
            <v>36753.702599078257</v>
          </cell>
          <cell r="F18">
            <v>38362.713615484623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djustments"/>
      <sheetName val="bpa owned"/>
      <sheetName val="direct funding"/>
    </sheetNames>
    <sheetDataSet>
      <sheetData sheetId="0">
        <row r="15">
          <cell r="D15">
            <v>-20936.810434333333</v>
          </cell>
        </row>
        <row r="20">
          <cell r="D20">
            <v>-21089.811767666666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BP-22 IPR Capital"/>
      <sheetName val="Cube_Indirects"/>
      <sheetName val="Old Proposed CIR-Refernce Case"/>
      <sheetName val="Old Corp indirect analysis"/>
      <sheetName val="2019"/>
      <sheetName val="2018"/>
      <sheetName val="2017"/>
      <sheetName val="2016"/>
      <sheetName val="IS"/>
    </sheetNames>
    <sheetDataSet>
      <sheetData sheetId="0">
        <row r="80">
          <cell r="F80">
            <v>7628000</v>
          </cell>
          <cell r="G80">
            <v>12228000</v>
          </cell>
        </row>
        <row r="81">
          <cell r="F81">
            <v>47824000</v>
          </cell>
          <cell r="G81">
            <v>51974000</v>
          </cell>
        </row>
        <row r="83">
          <cell r="F83">
            <v>216296000</v>
          </cell>
          <cell r="G83">
            <v>229286000</v>
          </cell>
        </row>
        <row r="85">
          <cell r="F85">
            <v>4300000</v>
          </cell>
          <cell r="G85">
            <v>2600000</v>
          </cell>
        </row>
        <row r="86">
          <cell r="F86">
            <v>43000000</v>
          </cell>
          <cell r="G86">
            <v>43000000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6">
          <cell r="B6">
            <v>19168.461743240001</v>
          </cell>
          <cell r="C6">
            <v>8210.2563999999984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"/>
      <sheetName val="Power"/>
    </sheetNames>
    <sheetDataSet>
      <sheetData sheetId="0"/>
      <sheetData sheetId="1">
        <row r="4">
          <cell r="I4">
            <v>278642769.00999999</v>
          </cell>
          <cell r="J4">
            <v>304747846.97000003</v>
          </cell>
        </row>
        <row r="5">
          <cell r="I5">
            <v>152269000.03000003</v>
          </cell>
          <cell r="J5">
            <v>152963000.03000003</v>
          </cell>
        </row>
        <row r="6">
          <cell r="I6">
            <v>252557000.03000003</v>
          </cell>
          <cell r="J6">
            <v>252557000.03000003</v>
          </cell>
        </row>
        <row r="8">
          <cell r="I8">
            <v>8600000</v>
          </cell>
          <cell r="J8">
            <v>9600000.0099999998</v>
          </cell>
        </row>
        <row r="9">
          <cell r="I9">
            <v>5300000</v>
          </cell>
          <cell r="J9">
            <v>5300000</v>
          </cell>
        </row>
        <row r="11">
          <cell r="I11">
            <v>767827.03</v>
          </cell>
          <cell r="J11">
            <v>812825.97000000009</v>
          </cell>
        </row>
        <row r="12">
          <cell r="I12">
            <v>1368484.01</v>
          </cell>
          <cell r="J12">
            <v>1410431.0099999998</v>
          </cell>
        </row>
        <row r="14">
          <cell r="I14">
            <v>5749250.04</v>
          </cell>
          <cell r="J14">
            <v>5499999.96</v>
          </cell>
        </row>
        <row r="15">
          <cell r="I15">
            <v>22000000</v>
          </cell>
          <cell r="J15">
            <v>22000000</v>
          </cell>
        </row>
        <row r="16">
          <cell r="I16">
            <v>1199999.9600000002</v>
          </cell>
          <cell r="J16">
            <v>1199999.9600000002</v>
          </cell>
        </row>
        <row r="17">
          <cell r="I17">
            <v>1140999.9700000002</v>
          </cell>
          <cell r="J17">
            <v>1174999.99</v>
          </cell>
        </row>
        <row r="22">
          <cell r="I22">
            <v>3099999.98</v>
          </cell>
          <cell r="J22">
            <v>3099999.98</v>
          </cell>
        </row>
        <row r="23">
          <cell r="I23">
            <v>43548999.979999997</v>
          </cell>
          <cell r="J23">
            <v>43548999.979999997</v>
          </cell>
        </row>
        <row r="25">
          <cell r="I25">
            <v>259000000.00999999</v>
          </cell>
          <cell r="J25">
            <v>259000000.00999999</v>
          </cell>
        </row>
        <row r="26">
          <cell r="I26">
            <v>34418000.019999996</v>
          </cell>
          <cell r="J26">
            <v>29467000.039999995</v>
          </cell>
        </row>
        <row r="27">
          <cell r="I27">
            <v>27300000.020000003</v>
          </cell>
          <cell r="J27">
            <v>27299999.979999997</v>
          </cell>
        </row>
        <row r="28">
          <cell r="I28">
            <v>589999.99</v>
          </cell>
          <cell r="J28">
            <v>589999.99</v>
          </cell>
        </row>
        <row r="29">
          <cell r="I29">
            <v>11800000.01</v>
          </cell>
          <cell r="J29">
            <v>11800000.01</v>
          </cell>
        </row>
        <row r="30">
          <cell r="I30">
            <v>7999999.9900000002</v>
          </cell>
          <cell r="J30">
            <v>7999999.9900000002</v>
          </cell>
        </row>
        <row r="31">
          <cell r="I31">
            <v>6005000.0000000009</v>
          </cell>
          <cell r="J31">
            <v>6005000.0000000009</v>
          </cell>
        </row>
        <row r="32">
          <cell r="I32">
            <v>67356799.989999995</v>
          </cell>
          <cell r="J32">
            <v>67356799.989999995</v>
          </cell>
        </row>
        <row r="33">
          <cell r="I33">
            <v>215000</v>
          </cell>
          <cell r="J33">
            <v>215000</v>
          </cell>
        </row>
        <row r="37">
          <cell r="I37">
            <v>81853839</v>
          </cell>
          <cell r="J37">
            <v>83243104.99000001</v>
          </cell>
        </row>
        <row r="38">
          <cell r="I38">
            <v>12886680</v>
          </cell>
          <cell r="J38">
            <v>13144413.970000001</v>
          </cell>
        </row>
        <row r="39">
          <cell r="I39">
            <v>113402377</v>
          </cell>
          <cell r="J39">
            <v>106916125</v>
          </cell>
        </row>
        <row r="40">
          <cell r="I40">
            <v>3299999.9899999998</v>
          </cell>
          <cell r="J40">
            <v>3299999.9899999998</v>
          </cell>
        </row>
        <row r="42">
          <cell r="I42">
            <v>6969975.9700000007</v>
          </cell>
          <cell r="J42">
            <v>7193160.1800000016</v>
          </cell>
        </row>
        <row r="43">
          <cell r="I43">
            <v>3946607.5999999992</v>
          </cell>
          <cell r="J43">
            <v>4035144.5300000003</v>
          </cell>
        </row>
        <row r="44">
          <cell r="I44">
            <v>9600421.5700000003</v>
          </cell>
          <cell r="J44">
            <v>9910280.7300000023</v>
          </cell>
        </row>
        <row r="45">
          <cell r="I45">
            <v>8708034.6600000001</v>
          </cell>
          <cell r="J45">
            <v>9006232.8600000013</v>
          </cell>
        </row>
        <row r="46">
          <cell r="I46">
            <v>970735.77</v>
          </cell>
          <cell r="J46">
            <v>1002935.7400000002</v>
          </cell>
        </row>
        <row r="47">
          <cell r="I47">
            <v>1175327.8599999999</v>
          </cell>
          <cell r="J47">
            <v>1217723.08</v>
          </cell>
        </row>
        <row r="48">
          <cell r="I48">
            <v>3566411.7900000005</v>
          </cell>
          <cell r="J48">
            <v>3678979.17</v>
          </cell>
        </row>
        <row r="49">
          <cell r="I49">
            <v>6672234.7099999981</v>
          </cell>
          <cell r="J49">
            <v>6885511.5299999956</v>
          </cell>
        </row>
        <row r="50">
          <cell r="I50">
            <v>3804075</v>
          </cell>
          <cell r="J50">
            <v>3780211.9200000004</v>
          </cell>
        </row>
        <row r="51">
          <cell r="I51">
            <v>2526625.0099999998</v>
          </cell>
          <cell r="J51">
            <v>2526625.0099999998</v>
          </cell>
        </row>
        <row r="53">
          <cell r="I53">
            <v>2195093.39</v>
          </cell>
          <cell r="J53">
            <v>2257436.2300000009</v>
          </cell>
        </row>
        <row r="54">
          <cell r="I54">
            <v>27500.04</v>
          </cell>
          <cell r="J54">
            <v>27500.04</v>
          </cell>
        </row>
        <row r="55">
          <cell r="I55">
            <v>91150.260000000009</v>
          </cell>
          <cell r="J55">
            <v>93742.880000000019</v>
          </cell>
        </row>
        <row r="56">
          <cell r="I56">
            <v>6522359.4300000025</v>
          </cell>
          <cell r="J56">
            <v>6743559.1000000006</v>
          </cell>
        </row>
        <row r="57">
          <cell r="I57">
            <v>7827235.2900000056</v>
          </cell>
          <cell r="J57">
            <v>8413694.089999998</v>
          </cell>
        </row>
        <row r="58">
          <cell r="I58">
            <v>6352110.9399999995</v>
          </cell>
          <cell r="J58">
            <v>6537039.3699999992</v>
          </cell>
        </row>
        <row r="59">
          <cell r="I59">
            <v>7644845.1500000022</v>
          </cell>
          <cell r="J59">
            <v>7808528.8100000005</v>
          </cell>
        </row>
        <row r="60">
          <cell r="I60">
            <v>906070.79000000027</v>
          </cell>
          <cell r="J60">
            <v>937429.8</v>
          </cell>
        </row>
        <row r="66">
          <cell r="I66">
            <v>33000000</v>
          </cell>
          <cell r="J66">
            <v>29000000</v>
          </cell>
        </row>
        <row r="67">
          <cell r="I67">
            <v>11942000</v>
          </cell>
          <cell r="J67">
            <v>12431000</v>
          </cell>
        </row>
        <row r="68">
          <cell r="I68">
            <v>247507739.06999978</v>
          </cell>
          <cell r="J68">
            <v>247195591.34999967</v>
          </cell>
        </row>
        <row r="70">
          <cell r="I70">
            <v>18665833.02</v>
          </cell>
          <cell r="J70">
            <v>19353932.990000002</v>
          </cell>
        </row>
        <row r="71">
          <cell r="I71">
            <v>53216617.219999984</v>
          </cell>
          <cell r="J71">
            <v>53552286.779999971</v>
          </cell>
        </row>
        <row r="72">
          <cell r="I72">
            <v>2290515.8400000008</v>
          </cell>
          <cell r="J72">
            <v>2192459.88</v>
          </cell>
        </row>
        <row r="73">
          <cell r="I73">
            <v>319683.49999999988</v>
          </cell>
          <cell r="J73">
            <v>330289.06</v>
          </cell>
        </row>
        <row r="74">
          <cell r="I74">
            <v>2229772.5099999998</v>
          </cell>
          <cell r="J74">
            <v>2274196.5399999991</v>
          </cell>
        </row>
        <row r="75">
          <cell r="I75">
            <v>-2971499.28</v>
          </cell>
          <cell r="J75">
            <v>-2971499.28</v>
          </cell>
        </row>
        <row r="76">
          <cell r="I76">
            <v>11720049.380000001</v>
          </cell>
          <cell r="J76">
            <v>11783264.930000002</v>
          </cell>
        </row>
        <row r="79">
          <cell r="I79">
            <v>1915921097.54</v>
          </cell>
          <cell r="J79">
            <v>1919570418.1399999</v>
          </cell>
        </row>
        <row r="81">
          <cell r="I81">
            <v>1287991095.5999997</v>
          </cell>
          <cell r="J81">
            <v>1309608904.3699996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 revised"/>
      <sheetName val="Sheet3"/>
      <sheetName val="studies re-sort"/>
      <sheetName val="CRFM list_V2 (2)"/>
      <sheetName val="Sheet1"/>
      <sheetName val="NWP Bal Sheet 9-30-2017"/>
      <sheetName val="NWW Bal Sheet 9-30-2017"/>
      <sheetName val="PIS estimates"/>
      <sheetName val="Added by BPA "/>
    </sheetNames>
    <sheetDataSet>
      <sheetData sheetId="0"/>
      <sheetData sheetId="1"/>
      <sheetData sheetId="2">
        <row r="89">
          <cell r="AA89">
            <v>7265.5398000000005</v>
          </cell>
          <cell r="AB89">
            <v>3618.7538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- current rates"/>
      <sheetName val="Pro Forma - proposed rates"/>
    </sheetNames>
    <sheetDataSet>
      <sheetData sheetId="0">
        <row r="89">
          <cell r="BB89">
            <v>2879680.996992487</v>
          </cell>
          <cell r="BD89">
            <v>2847294.6248635198</v>
          </cell>
        </row>
      </sheetData>
      <sheetData sheetId="1">
        <row r="89">
          <cell r="BB89">
            <v>2792280.3142468217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- current rates"/>
      <sheetName val="Pro Forma - proposed rates"/>
    </sheetNames>
    <sheetDataSet>
      <sheetData sheetId="0"/>
      <sheetData sheetId="1">
        <row r="89">
          <cell r="BB89">
            <v>2792560.5650605187</v>
          </cell>
          <cell r="BD89">
            <v>2756984.0391388019</v>
          </cell>
        </row>
        <row r="138">
          <cell r="BB138">
            <v>1402.2494783968516</v>
          </cell>
          <cell r="BD138">
            <v>2578.7556266264241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IPR2 final capital"/>
    </sheetNames>
    <sheetDataSet>
      <sheetData sheetId="0">
        <row r="26">
          <cell r="L26">
            <v>11004.91178</v>
          </cell>
          <cell r="M26">
            <v>11469.00268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QC"/>
      <sheetName val="Repayment Chart"/>
      <sheetName val="Repayment Chart Detail"/>
      <sheetName val="Summary of Repayment"/>
      <sheetName val="Federal Interest Calculation Su"/>
      <sheetName val="Non-Federal Interest Calculatio"/>
      <sheetName val="Federal Application of Principa"/>
      <sheetName val="Non-Federal Application of Prin"/>
      <sheetName val="Federal Summary of Interest"/>
      <sheetName val="Non-Federal Summary of Interest"/>
      <sheetName val="Federal Summary of Principal Pa"/>
      <sheetName val="Non-Federal Summary of Principa"/>
      <sheetName val="Irrigation Assistance Oblicatio"/>
      <sheetName val="Federal Historical Investments"/>
      <sheetName val="Non-Federal Historical Investme"/>
      <sheetName val="Federal Projected Investments"/>
      <sheetName val="Non-Federal Projected Investmen"/>
      <sheetName val="Federal Replacements"/>
      <sheetName val="Non-Federal Replacements"/>
      <sheetName val="Federal Make Whole Call Detail"/>
      <sheetName val="Non-Federal Make Whole Call Det"/>
      <sheetName val="Borrowing Authority Details"/>
      <sheetName val="Summary of Payment Plans"/>
      <sheetName val="Summary of Call Information"/>
      <sheetName val="Summary of Variable Rates"/>
      <sheetName val="Metrics"/>
      <sheetName val="WAM_WAI"/>
    </sheetNames>
    <sheetDataSet>
      <sheetData sheetId="0"/>
      <sheetData sheetId="1"/>
      <sheetData sheetId="2"/>
      <sheetData sheetId="3"/>
      <sheetData sheetId="4">
        <row r="11">
          <cell r="B11">
            <v>798732.11699999997</v>
          </cell>
        </row>
      </sheetData>
      <sheetData sheetId="5"/>
      <sheetData sheetId="6"/>
      <sheetData sheetId="7"/>
      <sheetData sheetId="8"/>
      <sheetData sheetId="9">
        <row r="10">
          <cell r="E10">
            <v>42538</v>
          </cell>
          <cell r="F10">
            <v>38411</v>
          </cell>
          <cell r="G10">
            <v>38609</v>
          </cell>
        </row>
        <row r="11">
          <cell r="E11">
            <v>45475</v>
          </cell>
          <cell r="F11">
            <v>43838</v>
          </cell>
          <cell r="G11">
            <v>38934</v>
          </cell>
        </row>
        <row r="13">
          <cell r="E13">
            <v>255</v>
          </cell>
          <cell r="F13">
            <v>148</v>
          </cell>
          <cell r="G13">
            <v>179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88012.894</v>
          </cell>
          <cell r="F16">
            <v>82247.501999999993</v>
          </cell>
          <cell r="G16">
            <v>77543.796000000002</v>
          </cell>
        </row>
      </sheetData>
      <sheetData sheetId="10">
        <row r="15">
          <cell r="E15">
            <v>-4102.3710000000001</v>
          </cell>
          <cell r="F15">
            <v>-3858.6550000000002</v>
          </cell>
          <cell r="G15">
            <v>-3484.1570000000002</v>
          </cell>
        </row>
        <row r="19">
          <cell r="E19">
            <v>3279.6219999999998</v>
          </cell>
          <cell r="F19">
            <v>3078.6689999999999</v>
          </cell>
          <cell r="G19">
            <v>2867.7190000000001</v>
          </cell>
        </row>
        <row r="20">
          <cell r="E20">
            <v>11424.79</v>
          </cell>
          <cell r="F20">
            <v>8547.0519999999997</v>
          </cell>
          <cell r="G20">
            <v>6246.91</v>
          </cell>
        </row>
        <row r="21">
          <cell r="E21">
            <v>2094.029</v>
          </cell>
          <cell r="F21">
            <v>1530.4939999999999</v>
          </cell>
          <cell r="G21">
            <v>1301.816</v>
          </cell>
        </row>
        <row r="22">
          <cell r="E22">
            <v>-2799.0740000000001</v>
          </cell>
          <cell r="F22">
            <v>-2094.029</v>
          </cell>
          <cell r="G22">
            <v>-1530.4939999999999</v>
          </cell>
        </row>
        <row r="23">
          <cell r="E23">
            <v>118944.36500000001</v>
          </cell>
          <cell r="F23">
            <v>139903.47399999999</v>
          </cell>
          <cell r="G23">
            <v>131639.41099999999</v>
          </cell>
        </row>
        <row r="24">
          <cell r="E24">
            <v>36137.671000000002</v>
          </cell>
          <cell r="F24">
            <v>31882.378000000001</v>
          </cell>
          <cell r="G24">
            <v>30485.258000000002</v>
          </cell>
        </row>
        <row r="25">
          <cell r="E25">
            <v>-29744.416000000001</v>
          </cell>
          <cell r="F25">
            <v>-36137.671000000002</v>
          </cell>
          <cell r="G25">
            <v>-31882.378000000001</v>
          </cell>
        </row>
        <row r="26">
          <cell r="E26">
            <v>35457.550999999999</v>
          </cell>
          <cell r="F26">
            <v>39176.163</v>
          </cell>
          <cell r="G26">
            <v>39111.232000000004</v>
          </cell>
        </row>
        <row r="27">
          <cell r="E27">
            <v>9852.6859999999997</v>
          </cell>
          <cell r="F27">
            <v>9568.7790000000005</v>
          </cell>
          <cell r="G27">
            <v>9632.5910000000003</v>
          </cell>
        </row>
        <row r="28">
          <cell r="E28">
            <v>-8796.4709999999995</v>
          </cell>
          <cell r="F28">
            <v>-9852.6859999999997</v>
          </cell>
          <cell r="G28">
            <v>-9568.7790000000005</v>
          </cell>
        </row>
        <row r="29">
          <cell r="E29">
            <v>45259.584000000003</v>
          </cell>
          <cell r="F29">
            <v>46117.298999999999</v>
          </cell>
          <cell r="G29">
            <v>46622.62</v>
          </cell>
        </row>
        <row r="30">
          <cell r="E30">
            <v>11342.585999999999</v>
          </cell>
          <cell r="F30">
            <v>11343.531999999999</v>
          </cell>
          <cell r="G30">
            <v>10913.388999999999</v>
          </cell>
        </row>
        <row r="31">
          <cell r="E31">
            <v>-11088.598</v>
          </cell>
          <cell r="F31">
            <v>-11342.585999999999</v>
          </cell>
          <cell r="G31">
            <v>-11343.531999999999</v>
          </cell>
        </row>
        <row r="36">
          <cell r="E36">
            <v>355.34300000000002</v>
          </cell>
          <cell r="F36">
            <v>278.89299999999997</v>
          </cell>
          <cell r="G36">
            <v>195.32300000000001</v>
          </cell>
        </row>
        <row r="38">
          <cell r="E38">
            <v>324.88099999999997</v>
          </cell>
          <cell r="F38">
            <v>323.41899999999998</v>
          </cell>
          <cell r="G38">
            <v>321.62</v>
          </cell>
        </row>
        <row r="39">
          <cell r="E39">
            <v>217942.17800000001</v>
          </cell>
          <cell r="F39">
            <v>228464.52499999999</v>
          </cell>
          <cell r="G39">
            <v>221528.549</v>
          </cell>
        </row>
      </sheetData>
      <sheetData sheetId="11">
        <row r="10">
          <cell r="D10">
            <v>95000</v>
          </cell>
          <cell r="E10">
            <v>0</v>
          </cell>
          <cell r="F10">
            <v>0</v>
          </cell>
        </row>
        <row r="11">
          <cell r="D11">
            <v>350100</v>
          </cell>
          <cell r="E11">
            <v>495001</v>
          </cell>
          <cell r="F11">
            <v>525000</v>
          </cell>
        </row>
        <row r="12">
          <cell r="D12">
            <v>22112</v>
          </cell>
          <cell r="E12">
            <v>16060</v>
          </cell>
          <cell r="F12">
            <v>12762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767</v>
          </cell>
          <cell r="F15">
            <v>1768</v>
          </cell>
        </row>
        <row r="16">
          <cell r="D16">
            <v>467211.54100000003</v>
          </cell>
          <cell r="E16">
            <v>511059.87900000002</v>
          </cell>
          <cell r="F16">
            <v>537762.08499999996</v>
          </cell>
        </row>
      </sheetData>
      <sheetData sheetId="12">
        <row r="11">
          <cell r="D11">
            <v>103018.1</v>
          </cell>
          <cell r="E11">
            <v>65505.15</v>
          </cell>
          <cell r="F11">
            <v>21111.4</v>
          </cell>
        </row>
        <row r="17">
          <cell r="D17">
            <v>3830</v>
          </cell>
          <cell r="E17">
            <v>4020</v>
          </cell>
          <cell r="F17">
            <v>4220</v>
          </cell>
        </row>
        <row r="20">
          <cell r="D20">
            <v>4020</v>
          </cell>
          <cell r="E20">
            <v>4220</v>
          </cell>
          <cell r="F20">
            <v>4435</v>
          </cell>
        </row>
        <row r="21">
          <cell r="D21">
            <v>99181.71</v>
          </cell>
          <cell r="E21">
            <v>77877.784</v>
          </cell>
          <cell r="F21">
            <v>22463.392</v>
          </cell>
        </row>
        <row r="22">
          <cell r="D22">
            <v>19469.446</v>
          </cell>
          <cell r="E22">
            <v>5615.848</v>
          </cell>
          <cell r="F22">
            <v>16874.982250000001</v>
          </cell>
        </row>
        <row r="23">
          <cell r="D23">
            <v>-24795.427500000002</v>
          </cell>
          <cell r="E23">
            <v>-19469.446</v>
          </cell>
          <cell r="F23">
            <v>-5615.848</v>
          </cell>
        </row>
        <row r="24">
          <cell r="D24">
            <v>3263.29</v>
          </cell>
          <cell r="E24">
            <v>-3127.7840000000001</v>
          </cell>
          <cell r="F24">
            <v>-9443.3919999999998</v>
          </cell>
        </row>
        <row r="25">
          <cell r="D25">
            <v>-781.94600000000003</v>
          </cell>
          <cell r="E25">
            <v>-2360.848</v>
          </cell>
          <cell r="F25">
            <v>-11714.982249999999</v>
          </cell>
        </row>
        <row r="26">
          <cell r="D26">
            <v>-815.82249999999999</v>
          </cell>
          <cell r="E26">
            <v>781.94600000000003</v>
          </cell>
          <cell r="F26">
            <v>2360.848</v>
          </cell>
        </row>
        <row r="27">
          <cell r="D27">
            <v>0</v>
          </cell>
          <cell r="E27">
            <v>395</v>
          </cell>
          <cell r="F27">
            <v>0</v>
          </cell>
          <cell r="G27">
            <v>0</v>
          </cell>
        </row>
        <row r="28">
          <cell r="D28">
            <v>98.75</v>
          </cell>
          <cell r="E28">
            <v>0</v>
          </cell>
          <cell r="F28">
            <v>0</v>
          </cell>
        </row>
        <row r="29">
          <cell r="D29">
            <v>0</v>
          </cell>
          <cell r="E29">
            <v>-98.75</v>
          </cell>
          <cell r="F29">
            <v>0</v>
          </cell>
        </row>
        <row r="30">
          <cell r="D30">
            <v>2380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-595</v>
          </cell>
          <cell r="E32">
            <v>0</v>
          </cell>
          <cell r="F32">
            <v>0</v>
          </cell>
        </row>
        <row r="34">
          <cell r="D34">
            <v>1535</v>
          </cell>
          <cell r="E34">
            <v>1605</v>
          </cell>
          <cell r="F34">
            <v>1685</v>
          </cell>
        </row>
        <row r="37">
          <cell r="D37">
            <v>1593.1</v>
          </cell>
          <cell r="E37">
            <v>1671.4</v>
          </cell>
          <cell r="F37">
            <v>1751.4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39997558519241921"/>
  </sheetPr>
  <dimension ref="A1:AT114"/>
  <sheetViews>
    <sheetView tabSelected="1" topLeftCell="A4" zoomScaleNormal="100" workbookViewId="0">
      <selection activeCell="E107" sqref="E107"/>
    </sheetView>
  </sheetViews>
  <sheetFormatPr defaultRowHeight="12.75"/>
  <cols>
    <col min="1" max="1" width="3.85546875" style="246" customWidth="1"/>
    <col min="2" max="2" width="3" style="246" customWidth="1"/>
    <col min="3" max="3" width="3.28515625" style="246" customWidth="1"/>
    <col min="4" max="4" width="54" style="246" customWidth="1"/>
    <col min="5" max="5" width="14.7109375" style="246" bestFit="1" customWidth="1"/>
    <col min="6" max="29" width="11.140625" style="246" customWidth="1"/>
    <col min="30" max="30" width="2.5703125" style="246" customWidth="1"/>
    <col min="31" max="31" width="11" style="246" customWidth="1"/>
    <col min="32" max="32" width="9.140625" style="246"/>
    <col min="33" max="33" width="11.28515625" style="246" bestFit="1" customWidth="1"/>
    <col min="34" max="34" width="37.42578125" style="246" bestFit="1" customWidth="1"/>
    <col min="35" max="35" width="9.5703125" style="246" hidden="1" customWidth="1"/>
    <col min="36" max="36" width="8.28515625" style="246" hidden="1" customWidth="1"/>
    <col min="37" max="37" width="10" style="246" bestFit="1" customWidth="1"/>
    <col min="38" max="38" width="9.85546875" style="246" bestFit="1" customWidth="1"/>
    <col min="39" max="39" width="9.85546875" style="246" customWidth="1"/>
    <col min="40" max="40" width="10.42578125" style="246" bestFit="1" customWidth="1"/>
    <col min="41" max="41" width="11.5703125" style="246" customWidth="1"/>
    <col min="42" max="42" width="10.42578125" style="246" bestFit="1" customWidth="1"/>
    <col min="43" max="43" width="9.85546875" style="246" bestFit="1" customWidth="1"/>
    <col min="44" max="16384" width="9.140625" style="246"/>
  </cols>
  <sheetData>
    <row r="1" spans="1:31">
      <c r="A1" s="390" t="s">
        <v>229</v>
      </c>
      <c r="B1" s="390"/>
      <c r="C1" s="390"/>
      <c r="D1" s="390"/>
      <c r="E1" s="390"/>
      <c r="F1" s="390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</row>
    <row r="2" spans="1:31">
      <c r="A2" s="390" t="s">
        <v>230</v>
      </c>
      <c r="B2" s="390"/>
      <c r="C2" s="390"/>
      <c r="D2" s="390"/>
      <c r="E2" s="390"/>
      <c r="F2" s="390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</row>
    <row r="3" spans="1:31">
      <c r="A3" s="390" t="s">
        <v>249</v>
      </c>
      <c r="B3" s="390"/>
      <c r="C3" s="390"/>
      <c r="D3" s="390"/>
      <c r="E3" s="390"/>
      <c r="F3" s="390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</row>
    <row r="4" spans="1:3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31">
      <c r="A5" s="305"/>
      <c r="B5" s="305"/>
      <c r="C5" s="305"/>
      <c r="D5" s="305"/>
      <c r="E5" s="294" t="s">
        <v>159</v>
      </c>
      <c r="F5" s="294" t="s">
        <v>160</v>
      </c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E5" s="293"/>
    </row>
    <row r="6" spans="1:31">
      <c r="D6" s="296"/>
      <c r="E6" s="293">
        <v>2022</v>
      </c>
      <c r="F6" s="293">
        <f t="shared" ref="F6" si="0">+E6+1</f>
        <v>2023</v>
      </c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E6" s="293"/>
    </row>
    <row r="7" spans="1:31">
      <c r="A7" s="246">
        <v>1</v>
      </c>
      <c r="B7" s="246" t="s">
        <v>167</v>
      </c>
    </row>
    <row r="8" spans="1:31">
      <c r="A8" s="246">
        <v>2</v>
      </c>
      <c r="C8" s="246" t="s">
        <v>168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</row>
    <row r="9" spans="1:31">
      <c r="A9" s="246">
        <v>3</v>
      </c>
      <c r="D9" s="246" t="s">
        <v>169</v>
      </c>
      <c r="E9" s="247">
        <f>('IPR Data'!C4+'IPR Data'!C5+'IPR Data'!C6+'IPR Data'!C13)/1000+'IPR Data'!C86</f>
        <v>706770.61991000001</v>
      </c>
      <c r="F9" s="247">
        <f>('IPR Data'!D4+'IPR Data'!D5+'IPR Data'!D6+'IPR Data'!D13)/1000+'IPR Data'!D86</f>
        <v>731009.85782000003</v>
      </c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E9" s="247"/>
    </row>
    <row r="10" spans="1:31">
      <c r="A10" s="246">
        <v>4</v>
      </c>
      <c r="D10" s="246" t="s">
        <v>170</v>
      </c>
      <c r="E10" s="247">
        <f>+'IPR Data'!C16/1000</f>
        <v>27749.250039999999</v>
      </c>
      <c r="F10" s="247">
        <f>+'IPR Data'!D16/1000</f>
        <v>27499.999960000001</v>
      </c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E10" s="247"/>
    </row>
    <row r="11" spans="1:31">
      <c r="A11" s="246">
        <v>5</v>
      </c>
      <c r="D11" s="246" t="s">
        <v>171</v>
      </c>
      <c r="E11" s="247">
        <f>+'IPR Data'!C19/1000</f>
        <v>2340.9999300000009</v>
      </c>
      <c r="F11" s="247">
        <f>+'IPR Data'!D19/1000</f>
        <v>2374.9999500000004</v>
      </c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E11" s="247"/>
    </row>
    <row r="12" spans="1:31">
      <c r="A12" s="246">
        <v>6</v>
      </c>
      <c r="D12" s="246" t="s">
        <v>172</v>
      </c>
      <c r="E12" s="247">
        <f>+'cost table'!D17+'Modeling results'!B15</f>
        <v>90689.999979999993</v>
      </c>
      <c r="F12" s="247">
        <f>+'cost table'!E17+'Modeling results'!C15</f>
        <v>88228.999979999993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E12" s="247"/>
    </row>
    <row r="13" spans="1:31">
      <c r="A13" s="246">
        <v>7</v>
      </c>
      <c r="D13" s="246" t="s">
        <v>132</v>
      </c>
      <c r="E13" s="247">
        <f>+'Modeling results'!B11</f>
        <v>0</v>
      </c>
      <c r="F13" s="247">
        <f>+'Modeling results'!C11</f>
        <v>0</v>
      </c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E13" s="247"/>
    </row>
    <row r="14" spans="1:31">
      <c r="A14" s="246">
        <v>8</v>
      </c>
      <c r="D14" s="246" t="s">
        <v>173</v>
      </c>
      <c r="E14" s="247">
        <f>+'Modeling results'!B8</f>
        <v>265288</v>
      </c>
      <c r="F14" s="247">
        <f>+'Modeling results'!C8</f>
        <v>265315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E14" s="247"/>
    </row>
    <row r="15" spans="1:31">
      <c r="A15" s="246">
        <v>9</v>
      </c>
      <c r="D15" s="246" t="s">
        <v>174</v>
      </c>
      <c r="E15" s="247">
        <f>+'IPR Data'!C26/1000</f>
        <v>34418.000019999992</v>
      </c>
      <c r="F15" s="247">
        <f>+'IPR Data'!D26/1000</f>
        <v>29467.000039999995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E15" s="247"/>
    </row>
    <row r="16" spans="1:31">
      <c r="A16" s="246">
        <v>10</v>
      </c>
      <c r="D16" s="246" t="s">
        <v>175</v>
      </c>
      <c r="E16" s="247">
        <f>+'IPR Data'!C36/1000</f>
        <v>121266.8</v>
      </c>
      <c r="F16" s="247">
        <f>+'IPR Data'!D36/1000</f>
        <v>121266.79995999999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E16" s="247"/>
    </row>
    <row r="17" spans="1:46">
      <c r="A17" s="246">
        <v>11</v>
      </c>
      <c r="C17" s="246" t="s">
        <v>176</v>
      </c>
      <c r="E17" s="247">
        <f>+'IPR Data'!C60/1000</f>
        <v>79506.815230000022</v>
      </c>
      <c r="F17" s="247">
        <f>+'IPR Data'!D60/1000</f>
        <v>82055.73507000001</v>
      </c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E17" s="249"/>
      <c r="AF17" s="247"/>
    </row>
    <row r="18" spans="1:46">
      <c r="A18" s="246">
        <v>12</v>
      </c>
      <c r="C18" s="246" t="s">
        <v>177</v>
      </c>
      <c r="E18" s="247">
        <f>(+'IPR Data'!C37+'IPR Data'!C40)/1000+'Modeling results'!B28+'Modeling results'!B19</f>
        <v>211227.83898999999</v>
      </c>
      <c r="F18" s="247">
        <f>(+'IPR Data'!D37+'IPR Data'!D40)/1000+'Modeling results'!$C$28+'Modeling results'!$C$19</f>
        <v>209388.10498</v>
      </c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E18" s="247"/>
    </row>
    <row r="19" spans="1:46">
      <c r="A19" s="246">
        <v>13</v>
      </c>
      <c r="C19" s="246" t="s">
        <v>398</v>
      </c>
      <c r="E19" s="247">
        <f>+'IPR Data'!C64/1000</f>
        <v>292449.73906999984</v>
      </c>
      <c r="F19" s="247">
        <f>+'IPR Data'!D64/1000</f>
        <v>288626.59134999965</v>
      </c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E19" s="249"/>
      <c r="AF19" s="247"/>
    </row>
    <row r="20" spans="1:46">
      <c r="A20" s="246">
        <v>14</v>
      </c>
      <c r="C20" s="246" t="s">
        <v>178</v>
      </c>
      <c r="E20" s="247">
        <f>+'IPR Data'!C72/1000+'IPR Data'!C65/1000</f>
        <v>85470.972189999971</v>
      </c>
      <c r="F20" s="247">
        <f>+'IPR Data'!D72/1000+'IPR Data'!D65/1000</f>
        <v>86514.930899999978</v>
      </c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E20" s="249"/>
      <c r="AF20" s="247"/>
    </row>
    <row r="21" spans="1:46">
      <c r="A21" s="246">
        <v>15</v>
      </c>
      <c r="C21" s="246" t="s">
        <v>179</v>
      </c>
      <c r="E21" s="247">
        <f>+'cost table'!D69</f>
        <v>0</v>
      </c>
      <c r="F21" s="247">
        <f>+'cost table'!E69</f>
        <v>0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E21" s="247"/>
      <c r="AF21" s="247"/>
    </row>
    <row r="22" spans="1:46">
      <c r="A22" s="246">
        <v>16</v>
      </c>
      <c r="C22" s="246" t="s">
        <v>190</v>
      </c>
      <c r="E22" s="247">
        <f>+Depreciation!E8</f>
        <v>140948.65333333332</v>
      </c>
      <c r="F22" s="247">
        <f>+Depreciation!F8</f>
        <v>144154.65333333332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E22" s="247"/>
      <c r="AG22" s="247"/>
    </row>
    <row r="23" spans="1:46">
      <c r="A23" s="246">
        <v>17</v>
      </c>
      <c r="C23" s="246" t="s">
        <v>191</v>
      </c>
      <c r="E23" s="247">
        <f>+Depreciation!E14+Depreciation!E30</f>
        <v>320900.43823960901</v>
      </c>
      <c r="F23" s="247">
        <f>+Depreciation!F14+Depreciation!F30</f>
        <v>317319.55282454338</v>
      </c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E23" s="247"/>
      <c r="AG23" s="247"/>
    </row>
    <row r="24" spans="1:46">
      <c r="A24" s="246">
        <v>18</v>
      </c>
      <c r="C24" s="246" t="s">
        <v>716</v>
      </c>
      <c r="E24" s="247">
        <f>+Depreciation!E29</f>
        <v>36753.702599078257</v>
      </c>
      <c r="F24" s="247">
        <f>+Depreciation!F29</f>
        <v>38362.713615484623</v>
      </c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E24" s="247"/>
      <c r="AG24" s="247"/>
    </row>
    <row r="25" spans="1:46">
      <c r="A25" s="246">
        <v>19</v>
      </c>
      <c r="B25" s="246" t="s">
        <v>192</v>
      </c>
      <c r="E25" s="247">
        <f>SUM(E9:E24)</f>
        <v>2415781.8295320207</v>
      </c>
      <c r="F25" s="247">
        <f t="shared" ref="F25" si="1">SUM(F9:F24)</f>
        <v>2431584.9397833613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E25" s="247"/>
    </row>
    <row r="26" spans="1:46">
      <c r="A26" s="246">
        <v>20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1:46">
      <c r="A27" s="246">
        <v>21</v>
      </c>
      <c r="B27" s="247" t="s">
        <v>698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G27" s="248"/>
    </row>
    <row r="28" spans="1:46">
      <c r="A28" s="246">
        <v>22</v>
      </c>
      <c r="B28" s="247"/>
      <c r="C28" s="247" t="s">
        <v>181</v>
      </c>
      <c r="D28" s="247"/>
      <c r="AG28" s="248"/>
    </row>
    <row r="29" spans="1:46">
      <c r="A29" s="246">
        <v>23</v>
      </c>
      <c r="B29" s="247"/>
      <c r="C29" s="247"/>
      <c r="D29" s="247" t="s">
        <v>182</v>
      </c>
      <c r="E29" s="247">
        <f>+'Federal Capital Costs'!D5</f>
        <v>38411</v>
      </c>
      <c r="F29" s="247">
        <f>+'Federal Capital Costs'!E5</f>
        <v>38609</v>
      </c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E29" s="247"/>
      <c r="AG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</row>
    <row r="30" spans="1:46">
      <c r="A30" s="246">
        <v>24</v>
      </c>
      <c r="B30" s="247"/>
      <c r="D30" s="247" t="s">
        <v>183</v>
      </c>
      <c r="E30" s="247">
        <f>+'cost table'!D84</f>
        <v>-45937</v>
      </c>
      <c r="F30" s="247">
        <f>+'cost table'!E84</f>
        <v>-45937</v>
      </c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E30" s="247"/>
      <c r="AG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</row>
    <row r="31" spans="1:46">
      <c r="A31" s="246">
        <v>25</v>
      </c>
      <c r="B31" s="247"/>
      <c r="C31" s="247"/>
      <c r="D31" s="247" t="s">
        <v>184</v>
      </c>
      <c r="E31" s="247">
        <f>+'Federal Capital Costs'!D4+'Federal Capital Costs'!D69</f>
        <v>43986</v>
      </c>
      <c r="F31" s="247">
        <f>+'Federal Capital Costs'!E4+'Federal Capital Costs'!E69</f>
        <v>39113</v>
      </c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G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</row>
    <row r="32" spans="1:46">
      <c r="A32" s="246">
        <v>26</v>
      </c>
      <c r="D32" s="247" t="s">
        <v>681</v>
      </c>
      <c r="E32" s="247">
        <f>+'Federal Capital Costs'!D8</f>
        <v>767</v>
      </c>
      <c r="F32" s="247">
        <f>+'Federal Capital Costs'!E8</f>
        <v>1768</v>
      </c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E32" s="247"/>
      <c r="AG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</row>
    <row r="33" spans="1:46">
      <c r="A33" s="246">
        <v>27</v>
      </c>
      <c r="D33" s="247" t="s">
        <v>250</v>
      </c>
      <c r="E33" s="247">
        <f>SUM('cost table'!D86:D91)</f>
        <v>236318.49857060824</v>
      </c>
      <c r="F33" s="247">
        <f>SUM('cost table'!E86:E91)</f>
        <v>228327.15562309994</v>
      </c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E33" s="247"/>
      <c r="AG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</row>
    <row r="34" spans="1:46">
      <c r="A34" s="246">
        <v>28</v>
      </c>
      <c r="D34" s="247" t="s">
        <v>748</v>
      </c>
      <c r="E34" s="247">
        <f>-'[1]Premium EN'!$D$9/1000</f>
        <v>-7561.5887000000002</v>
      </c>
      <c r="F34" s="247">
        <f>-'[1]Premium EN'!$D$10/1000</f>
        <v>-7490.78532</v>
      </c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E34" s="247"/>
      <c r="AG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</row>
    <row r="35" spans="1:46">
      <c r="A35" s="246">
        <v>29</v>
      </c>
      <c r="D35" s="247" t="s">
        <v>747</v>
      </c>
      <c r="E35" s="247">
        <f>+'[1]Cost of Issuance EN'!$D$9/1000</f>
        <v>168.60468</v>
      </c>
      <c r="F35" s="247">
        <f>+'[1]Cost of Issuance EN'!$D$10/1000</f>
        <v>168.60468</v>
      </c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E35" s="247"/>
      <c r="AG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</row>
    <row r="36" spans="1:46">
      <c r="A36" s="246">
        <v>30</v>
      </c>
      <c r="C36" s="247" t="s">
        <v>185</v>
      </c>
      <c r="D36" s="247"/>
      <c r="E36" s="247">
        <f>+ 'cost table'!D96</f>
        <v>-11004.91178</v>
      </c>
      <c r="F36" s="247">
        <f>+ 'cost table'!E96</f>
        <v>-11469.00268</v>
      </c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E36" s="247"/>
      <c r="AG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</row>
    <row r="37" spans="1:46">
      <c r="A37" s="246">
        <v>31</v>
      </c>
      <c r="B37" s="247"/>
      <c r="C37" s="247" t="s">
        <v>186</v>
      </c>
      <c r="D37" s="247"/>
      <c r="E37" s="247">
        <f>+'interest credit calculations'!C10</f>
        <v>-1469.3985470571276</v>
      </c>
      <c r="F37" s="247">
        <f>+'interest credit calculations'!D10</f>
        <v>-1423.7938416182892</v>
      </c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E37" s="247"/>
      <c r="AG37" s="248"/>
      <c r="AK37" s="248"/>
      <c r="AL37" s="248"/>
      <c r="AM37" s="248"/>
      <c r="AN37" s="248"/>
      <c r="AO37" s="248"/>
      <c r="AP37" s="248"/>
      <c r="AQ37" s="248"/>
    </row>
    <row r="38" spans="1:46">
      <c r="A38" s="246">
        <v>32</v>
      </c>
      <c r="B38" s="247"/>
      <c r="C38" s="247" t="s">
        <v>699</v>
      </c>
      <c r="D38" s="247"/>
      <c r="E38" s="247">
        <f>-[2]Sheet1!E$17</f>
        <v>-9857.4198361257986</v>
      </c>
      <c r="F38" s="247">
        <f>-[2]Sheet1!F$17</f>
        <v>-10198.165340933187</v>
      </c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50"/>
      <c r="AE38" s="247"/>
      <c r="AG38" s="248"/>
      <c r="AK38" s="248"/>
      <c r="AL38" s="248"/>
      <c r="AM38" s="248"/>
      <c r="AN38" s="248"/>
      <c r="AO38" s="248"/>
      <c r="AP38" s="248"/>
      <c r="AQ38" s="248"/>
    </row>
    <row r="39" spans="1:46">
      <c r="A39" s="246">
        <v>33</v>
      </c>
      <c r="B39" s="247"/>
      <c r="C39" s="247" t="s">
        <v>740</v>
      </c>
      <c r="D39" s="247"/>
      <c r="E39" s="251">
        <f>-[2]Sheet1!E$20</f>
        <v>-3398.7278184283846</v>
      </c>
      <c r="F39" s="251">
        <f>-[2]Sheet1!F$20</f>
        <v>-3516.2130473672032</v>
      </c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0"/>
      <c r="AE39" s="247"/>
      <c r="AG39" s="248"/>
      <c r="AK39" s="248"/>
      <c r="AL39" s="248"/>
      <c r="AM39" s="248"/>
      <c r="AN39" s="248"/>
      <c r="AO39" s="248"/>
      <c r="AP39" s="248"/>
      <c r="AQ39" s="248"/>
    </row>
    <row r="40" spans="1:46">
      <c r="A40" s="246">
        <v>34</v>
      </c>
      <c r="B40" s="247" t="s">
        <v>710</v>
      </c>
      <c r="C40" s="247"/>
      <c r="D40" s="247"/>
      <c r="E40" s="247">
        <f>SUM(E29:E39)</f>
        <v>240422.05656899686</v>
      </c>
      <c r="F40" s="247">
        <f>SUM(F29:F39)</f>
        <v>227950.80007318125</v>
      </c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E40" s="247"/>
      <c r="AG40" s="248"/>
      <c r="AJ40" s="252"/>
      <c r="AK40" s="248"/>
      <c r="AL40" s="252"/>
      <c r="AM40" s="252"/>
      <c r="AN40" s="248"/>
      <c r="AO40" s="248"/>
      <c r="AP40" s="248"/>
      <c r="AQ40" s="248"/>
    </row>
    <row r="41" spans="1:46">
      <c r="A41" s="246">
        <v>35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K41" s="248"/>
      <c r="AL41" s="248"/>
      <c r="AM41" s="248"/>
      <c r="AN41" s="248"/>
      <c r="AO41" s="248"/>
      <c r="AP41" s="248"/>
      <c r="AQ41" s="248"/>
    </row>
    <row r="42" spans="1:46">
      <c r="A42" s="246">
        <v>36</v>
      </c>
      <c r="B42" s="247" t="s">
        <v>187</v>
      </c>
      <c r="C42" s="247"/>
      <c r="D42" s="247"/>
      <c r="E42" s="247">
        <f>E40+E25</f>
        <v>2656203.8861010177</v>
      </c>
      <c r="F42" s="247">
        <f>F40+F25</f>
        <v>2659535.7398565426</v>
      </c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E42" s="247"/>
      <c r="AK42" s="248"/>
      <c r="AL42" s="248"/>
      <c r="AM42" s="248"/>
      <c r="AN42" s="248"/>
      <c r="AO42" s="248"/>
      <c r="AP42" s="248"/>
      <c r="AQ42" s="248"/>
    </row>
    <row r="43" spans="1:46">
      <c r="A43" s="246">
        <v>37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</row>
    <row r="44" spans="1:46">
      <c r="A44" s="246">
        <v>38</v>
      </c>
      <c r="B44" s="247" t="s">
        <v>188</v>
      </c>
      <c r="C44" s="247"/>
      <c r="D44" s="247"/>
      <c r="E44" s="247">
        <f>E61</f>
        <v>67831.027840620169</v>
      </c>
      <c r="F44" s="247">
        <f>F61</f>
        <v>104442.559888727</v>
      </c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E44" s="247"/>
    </row>
    <row r="45" spans="1:46">
      <c r="A45" s="246">
        <v>39</v>
      </c>
      <c r="B45" s="247" t="s">
        <v>189</v>
      </c>
      <c r="C45" s="247"/>
      <c r="D45" s="247"/>
      <c r="E45" s="247">
        <f>+'Modeling results'!B31</f>
        <v>31000</v>
      </c>
      <c r="F45" s="247">
        <f>+'Modeling results'!C31</f>
        <v>31000</v>
      </c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E45" s="247"/>
    </row>
    <row r="46" spans="1:46">
      <c r="A46" s="246">
        <v>40</v>
      </c>
      <c r="B46" s="247" t="s">
        <v>772</v>
      </c>
      <c r="C46" s="247"/>
      <c r="D46" s="247"/>
      <c r="E46" s="247">
        <f>E44+E45</f>
        <v>98831.027840620169</v>
      </c>
      <c r="F46" s="247">
        <f>F44+F45</f>
        <v>135442.559888727</v>
      </c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E46" s="247"/>
    </row>
    <row r="47" spans="1:46">
      <c r="A47" s="246">
        <v>41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</row>
    <row r="48" spans="1:46">
      <c r="A48" s="246">
        <v>42</v>
      </c>
      <c r="B48" s="259" t="s">
        <v>231</v>
      </c>
      <c r="C48" s="247"/>
      <c r="D48" s="247"/>
      <c r="E48" s="259">
        <f>E46+E42</f>
        <v>2755034.9139416381</v>
      </c>
      <c r="F48" s="259">
        <f>F46+F42</f>
        <v>2794978.2997452696</v>
      </c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E48" s="259"/>
      <c r="AG48" s="247"/>
    </row>
    <row r="49" spans="1:31"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E49" s="247"/>
    </row>
    <row r="50" spans="1:31"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</row>
    <row r="51" spans="1:31">
      <c r="A51" s="306" t="s">
        <v>232</v>
      </c>
      <c r="B51" s="246" t="s">
        <v>581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</row>
    <row r="52" spans="1:31">
      <c r="A52" s="306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</row>
    <row r="53" spans="1:31"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</row>
    <row r="54" spans="1:31">
      <c r="A54" s="390" t="s">
        <v>229</v>
      </c>
      <c r="B54" s="390"/>
      <c r="C54" s="390"/>
      <c r="D54" s="390"/>
      <c r="E54" s="390"/>
      <c r="F54" s="390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</row>
    <row r="55" spans="1:31">
      <c r="A55" s="390" t="s">
        <v>233</v>
      </c>
      <c r="B55" s="390"/>
      <c r="C55" s="390"/>
      <c r="D55" s="390"/>
      <c r="E55" s="390"/>
      <c r="F55" s="390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</row>
    <row r="56" spans="1:31">
      <c r="A56" s="390" t="s">
        <v>249</v>
      </c>
      <c r="B56" s="390"/>
      <c r="C56" s="390"/>
      <c r="D56" s="390"/>
      <c r="E56" s="390"/>
      <c r="F56" s="390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</row>
    <row r="57" spans="1:31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</row>
    <row r="58" spans="1:31">
      <c r="A58" s="247"/>
      <c r="B58" s="247"/>
      <c r="C58" s="247"/>
      <c r="D58" s="247"/>
      <c r="E58" s="294" t="s">
        <v>159</v>
      </c>
      <c r="F58" s="294" t="s">
        <v>160</v>
      </c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E58" s="293"/>
    </row>
    <row r="59" spans="1:31">
      <c r="A59" s="247"/>
      <c r="B59" s="247"/>
      <c r="C59" s="247"/>
      <c r="D59" s="296"/>
      <c r="E59" s="293">
        <f t="shared" ref="E59:F59" si="2">+E6</f>
        <v>2022</v>
      </c>
      <c r="F59" s="293">
        <f t="shared" si="2"/>
        <v>2023</v>
      </c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E59" s="293"/>
    </row>
    <row r="60" spans="1:31">
      <c r="A60" s="247">
        <v>1</v>
      </c>
      <c r="B60" s="247" t="s">
        <v>234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</row>
    <row r="61" spans="1:31">
      <c r="A61" s="247">
        <v>2</v>
      </c>
      <c r="B61" s="247"/>
      <c r="C61" s="247" t="s">
        <v>188</v>
      </c>
      <c r="D61" s="247"/>
      <c r="E61" s="247">
        <f>IF(SUM(E63:E72)+E79+E89&gt;0,0,-(SUM(E63:E72)+E79+E89))</f>
        <v>67831.027840620169</v>
      </c>
      <c r="F61" s="247">
        <f t="shared" ref="F61" si="3">IF(SUM(F63:F72)+F79+F89&gt;0,0,-(SUM(F63:F72)+F79+F89))</f>
        <v>104442.559888727</v>
      </c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E61" s="247"/>
    </row>
    <row r="62" spans="1:31">
      <c r="A62" s="247">
        <v>3</v>
      </c>
      <c r="B62" s="247"/>
      <c r="C62" s="247" t="s">
        <v>235</v>
      </c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</row>
    <row r="63" spans="1:31">
      <c r="A63" s="247">
        <v>4</v>
      </c>
      <c r="B63" s="247"/>
      <c r="C63" s="247"/>
      <c r="D63" s="247" t="s">
        <v>250</v>
      </c>
      <c r="E63" s="247">
        <f>+'cost table'!D86</f>
        <v>7853.9735706082802</v>
      </c>
      <c r="F63" s="247">
        <f>+'cost table'!E86</f>
        <v>6798.6066230999504</v>
      </c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E63" s="247"/>
    </row>
    <row r="64" spans="1:31">
      <c r="A64" s="247">
        <v>5</v>
      </c>
      <c r="B64" s="247"/>
      <c r="C64" s="247"/>
      <c r="D64" s="247" t="s">
        <v>236</v>
      </c>
      <c r="E64" s="247">
        <f>E23+E22</f>
        <v>461849.09157294233</v>
      </c>
      <c r="F64" s="247">
        <f>F23+F22</f>
        <v>461474.2061578767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E64" s="247"/>
    </row>
    <row r="65" spans="1:31">
      <c r="A65" s="247">
        <v>6</v>
      </c>
      <c r="B65" s="247"/>
      <c r="C65" s="247"/>
      <c r="D65" s="247" t="s">
        <v>716</v>
      </c>
      <c r="E65" s="247">
        <f>+E24</f>
        <v>36753.702599078257</v>
      </c>
      <c r="F65" s="247">
        <f t="shared" ref="F65" si="4">+F24</f>
        <v>38362.713615484623</v>
      </c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E65" s="247"/>
    </row>
    <row r="66" spans="1:31">
      <c r="A66" s="247">
        <v>7</v>
      </c>
      <c r="B66" s="247"/>
      <c r="C66" s="247"/>
      <c r="D66" s="247" t="s">
        <v>562</v>
      </c>
      <c r="E66" s="247">
        <f>+E39+E38-'cost table'!D121</f>
        <v>64670.338436750957</v>
      </c>
      <c r="F66" s="247">
        <f>+F39+F38-'cost table'!E121</f>
        <v>59440.37435481172</v>
      </c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E66" s="247"/>
    </row>
    <row r="67" spans="1:31">
      <c r="A67" s="247">
        <v>8</v>
      </c>
      <c r="B67" s="247"/>
      <c r="C67" s="247"/>
      <c r="D67" s="247" t="s">
        <v>183</v>
      </c>
      <c r="E67" s="247">
        <f t="shared" ref="E67:F67" si="5">E30</f>
        <v>-45937</v>
      </c>
      <c r="F67" s="247">
        <f t="shared" si="5"/>
        <v>-45937</v>
      </c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E67" s="247"/>
    </row>
    <row r="68" spans="1:31">
      <c r="A68" s="247">
        <v>9</v>
      </c>
      <c r="B68" s="247"/>
      <c r="D68" s="247" t="s">
        <v>402</v>
      </c>
      <c r="E68" s="247">
        <f>-'Federal Capital Costs'!D16</f>
        <v>-30600</v>
      </c>
      <c r="F68" s="247">
        <f>-'Federal Capital Costs'!E16</f>
        <v>-30600</v>
      </c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E68" s="247"/>
    </row>
    <row r="69" spans="1:31">
      <c r="A69" s="247">
        <v>10</v>
      </c>
      <c r="B69" s="247"/>
      <c r="D69" s="247" t="s">
        <v>748</v>
      </c>
      <c r="E69" s="247">
        <f>E34</f>
        <v>-7561.5887000000002</v>
      </c>
      <c r="F69" s="247">
        <f>F34</f>
        <v>-7490.78532</v>
      </c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E69" s="247"/>
    </row>
    <row r="70" spans="1:31">
      <c r="A70" s="247">
        <v>11</v>
      </c>
      <c r="B70" s="247"/>
      <c r="D70" s="247" t="s">
        <v>747</v>
      </c>
      <c r="E70" s="247">
        <f>E35</f>
        <v>168.60468</v>
      </c>
      <c r="F70" s="247">
        <f>F35</f>
        <v>168.60468</v>
      </c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E70" s="247"/>
    </row>
    <row r="71" spans="1:31" ht="12.75" customHeight="1">
      <c r="A71" s="247">
        <v>12</v>
      </c>
      <c r="B71" s="247"/>
      <c r="C71" s="246" t="s">
        <v>700</v>
      </c>
      <c r="D71" s="247"/>
      <c r="E71" s="247">
        <f>-'IPR Data'!C84/1000</f>
        <v>-4472</v>
      </c>
      <c r="F71" s="247">
        <f>-'IPR Data'!D84/1000</f>
        <v>-4650.88</v>
      </c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E71" s="247"/>
    </row>
    <row r="72" spans="1:31" ht="12.75" customHeight="1">
      <c r="A72" s="247">
        <v>13</v>
      </c>
      <c r="B72" s="247"/>
      <c r="C72" s="247" t="s">
        <v>666</v>
      </c>
      <c r="D72" s="247"/>
      <c r="E72" s="256">
        <v>16510</v>
      </c>
      <c r="F72" s="256">
        <v>16865</v>
      </c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E72" s="247"/>
    </row>
    <row r="73" spans="1:31">
      <c r="A73" s="247">
        <v>14</v>
      </c>
      <c r="B73" s="247" t="s">
        <v>237</v>
      </c>
      <c r="C73" s="247"/>
      <c r="D73" s="247"/>
      <c r="E73" s="257">
        <f>SUM(E61:E72)</f>
        <v>567066.15</v>
      </c>
      <c r="F73" s="257">
        <f t="shared" ref="F73" si="6">SUM(F61:F72)</f>
        <v>598873.4</v>
      </c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E73" s="247"/>
    </row>
    <row r="74" spans="1:31">
      <c r="A74" s="247">
        <v>15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</row>
    <row r="75" spans="1:31">
      <c r="A75" s="247">
        <v>16</v>
      </c>
      <c r="B75" s="247" t="s">
        <v>497</v>
      </c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</row>
    <row r="76" spans="1:31">
      <c r="A76" s="247">
        <v>17</v>
      </c>
      <c r="B76" s="247"/>
      <c r="C76" s="247" t="s">
        <v>238</v>
      </c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</row>
    <row r="77" spans="1:31">
      <c r="A77" s="247">
        <v>18</v>
      </c>
      <c r="B77" s="247"/>
      <c r="C77" s="247"/>
      <c r="D77" s="247" t="s">
        <v>239</v>
      </c>
      <c r="E77" s="247">
        <f>-(+'Fed Projections'!F6+'Fed Projections'!F9+'Fed Projections'!F8)</f>
        <v>-290258.26174324</v>
      </c>
      <c r="F77" s="247">
        <f>-(+'Fed Projections'!G6+'Fed Projections'!G9+'Fed Projections'!G8)</f>
        <v>-296350.0564</v>
      </c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E77" s="247"/>
    </row>
    <row r="78" spans="1:31">
      <c r="A78" s="247">
        <v>19</v>
      </c>
      <c r="B78" s="247"/>
      <c r="C78" s="247"/>
      <c r="D78" s="247" t="s">
        <v>226</v>
      </c>
      <c r="E78" s="251">
        <f>-'Fed Projections'!F10</f>
        <v>-43000</v>
      </c>
      <c r="F78" s="251">
        <f>-'Fed Projections'!G10</f>
        <v>-43000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E78" s="247"/>
    </row>
    <row r="79" spans="1:31">
      <c r="A79" s="247">
        <v>20</v>
      </c>
      <c r="B79" s="247" t="s">
        <v>404</v>
      </c>
      <c r="C79" s="247"/>
      <c r="D79" s="247"/>
      <c r="E79" s="247">
        <f>SUM(E77:E78)</f>
        <v>-333258.26174324</v>
      </c>
      <c r="F79" s="247">
        <f>SUM(F77:F78)</f>
        <v>-339350.0564</v>
      </c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E79" s="247"/>
    </row>
    <row r="80" spans="1:31">
      <c r="A80" s="247">
        <v>21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</row>
    <row r="81" spans="1:33">
      <c r="A81" s="247">
        <v>22</v>
      </c>
      <c r="B81" s="247" t="s">
        <v>240</v>
      </c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</row>
    <row r="82" spans="1:33">
      <c r="A82" s="247">
        <v>23</v>
      </c>
      <c r="C82" s="247" t="s">
        <v>241</v>
      </c>
      <c r="D82" s="247"/>
      <c r="E82" s="247">
        <f>-E79-E84-E87-'Federal Capital Costs'!D38</f>
        <v>274089.8</v>
      </c>
      <c r="F82" s="247">
        <f>-F79-F84-F87-'Federal Capital Costs'!E38</f>
        <v>291139.8</v>
      </c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E82" s="247"/>
    </row>
    <row r="83" spans="1:33">
      <c r="A83" s="247">
        <v>24</v>
      </c>
      <c r="C83" s="247" t="s">
        <v>242</v>
      </c>
      <c r="D83" s="247"/>
      <c r="E83" s="247">
        <f>-'Federal Capital Costs'!D14</f>
        <v>-495001</v>
      </c>
      <c r="F83" s="247">
        <f>-'Federal Capital Costs'!E14</f>
        <v>-525000</v>
      </c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E83" s="247"/>
    </row>
    <row r="84" spans="1:33">
      <c r="A84" s="247">
        <v>25</v>
      </c>
      <c r="C84" s="247" t="s">
        <v>243</v>
      </c>
      <c r="D84" s="247"/>
      <c r="E84" s="247">
        <f>+'Fed Projections'!F8</f>
        <v>19168.461743240001</v>
      </c>
      <c r="F84" s="247">
        <f>+'Fed Projections'!G8</f>
        <v>8210.2563999999984</v>
      </c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E84" s="247"/>
    </row>
    <row r="85" spans="1:33">
      <c r="A85" s="247">
        <v>26</v>
      </c>
      <c r="C85" s="247" t="s">
        <v>244</v>
      </c>
      <c r="D85" s="247"/>
      <c r="E85" s="247">
        <f>-'Federal Capital Costs'!D13</f>
        <v>0</v>
      </c>
      <c r="F85" s="247">
        <f>-'Federal Capital Costs'!E13</f>
        <v>0</v>
      </c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E85" s="247"/>
    </row>
    <row r="86" spans="1:33">
      <c r="A86" s="247">
        <v>27</v>
      </c>
      <c r="C86" s="247" t="s">
        <v>563</v>
      </c>
      <c r="D86" s="247"/>
      <c r="E86" s="247">
        <f>-'Non-Federal DS'!F53</f>
        <v>-16005.150000000007</v>
      </c>
      <c r="F86" s="247">
        <f>-'Non-Federal DS'!G53</f>
        <v>-21111.400000000005</v>
      </c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E86" s="247"/>
    </row>
    <row r="87" spans="1:33">
      <c r="A87" s="247">
        <v>28</v>
      </c>
      <c r="C87" s="247" t="s">
        <v>408</v>
      </c>
      <c r="D87" s="247"/>
      <c r="E87" s="247">
        <v>0</v>
      </c>
      <c r="F87" s="247">
        <v>0</v>
      </c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E87" s="247"/>
    </row>
    <row r="88" spans="1:33">
      <c r="A88" s="247">
        <v>29</v>
      </c>
      <c r="C88" s="247" t="s">
        <v>245</v>
      </c>
      <c r="D88" s="247"/>
      <c r="E88" s="251">
        <f>-'Federal Capital Costs'!D15</f>
        <v>-16060</v>
      </c>
      <c r="F88" s="251">
        <f>-'Federal Capital Costs'!E15</f>
        <v>-12762</v>
      </c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E88" s="247"/>
    </row>
    <row r="89" spans="1:33">
      <c r="A89" s="247">
        <v>30</v>
      </c>
      <c r="B89" s="247" t="s">
        <v>246</v>
      </c>
      <c r="C89" s="247"/>
      <c r="D89" s="247"/>
      <c r="E89" s="247">
        <f t="shared" ref="E89:F89" si="7">SUM(E82:E88)</f>
        <v>-233807.88825675999</v>
      </c>
      <c r="F89" s="247">
        <f t="shared" si="7"/>
        <v>-259523.34359999999</v>
      </c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E89" s="247"/>
      <c r="AG89" s="247"/>
    </row>
    <row r="90" spans="1:33">
      <c r="A90" s="247">
        <v>31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</row>
    <row r="91" spans="1:33">
      <c r="A91" s="247">
        <v>32</v>
      </c>
      <c r="B91" s="247" t="s">
        <v>247</v>
      </c>
      <c r="C91" s="247"/>
      <c r="D91" s="247"/>
      <c r="E91" s="247">
        <f t="shared" ref="E91:F91" si="8">E73+E79+E89</f>
        <v>0</v>
      </c>
      <c r="F91" s="247">
        <f t="shared" si="8"/>
        <v>0</v>
      </c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E91" s="247"/>
    </row>
    <row r="92" spans="1:33">
      <c r="A92" s="247">
        <v>33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3">
      <c r="A93" s="247">
        <v>34</v>
      </c>
      <c r="B93" s="247" t="s">
        <v>189</v>
      </c>
      <c r="C93" s="247"/>
      <c r="D93" s="247"/>
      <c r="E93" s="247">
        <f t="shared" ref="E93:F93" si="9">E45</f>
        <v>31000</v>
      </c>
      <c r="F93" s="247">
        <f t="shared" si="9"/>
        <v>31000</v>
      </c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E93" s="247"/>
    </row>
    <row r="94" spans="1:33">
      <c r="A94" s="247">
        <v>35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</row>
    <row r="95" spans="1:33">
      <c r="A95" s="247">
        <v>36</v>
      </c>
      <c r="B95" s="247" t="s">
        <v>248</v>
      </c>
      <c r="C95" s="247"/>
      <c r="D95" s="247"/>
      <c r="E95" s="247">
        <f>E91+E93</f>
        <v>31000</v>
      </c>
      <c r="F95" s="247">
        <f>F91+F93</f>
        <v>31000</v>
      </c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E95" s="247"/>
    </row>
    <row r="96" spans="1:33"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</row>
    <row r="97" spans="1:29">
      <c r="A97" s="306" t="s">
        <v>232</v>
      </c>
      <c r="B97" s="246" t="s">
        <v>560</v>
      </c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</row>
    <row r="98" spans="1:29">
      <c r="A98" s="247"/>
      <c r="B98" s="247" t="s">
        <v>561</v>
      </c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</row>
    <row r="99" spans="1:29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</row>
    <row r="102" spans="1:29" s="308" customFormat="1">
      <c r="D102" s="309"/>
    </row>
    <row r="103" spans="1:29" s="308" customFormat="1">
      <c r="D103" s="309"/>
    </row>
    <row r="104" spans="1:29" s="308" customFormat="1">
      <c r="D104" s="309"/>
    </row>
    <row r="105" spans="1:29" s="308" customFormat="1">
      <c r="D105" s="309"/>
    </row>
    <row r="106" spans="1:29" s="308" customFormat="1">
      <c r="D106" s="309"/>
    </row>
    <row r="107" spans="1:29" s="308" customFormat="1">
      <c r="D107" s="309"/>
    </row>
    <row r="108" spans="1:29">
      <c r="D108" s="306"/>
      <c r="E108" s="247"/>
      <c r="F108" s="247"/>
      <c r="G108" s="247"/>
      <c r="H108" s="247"/>
    </row>
    <row r="109" spans="1:29" s="308" customFormat="1">
      <c r="D109" s="309"/>
    </row>
    <row r="110" spans="1:29" s="308" customFormat="1">
      <c r="D110" s="309"/>
    </row>
    <row r="111" spans="1:29">
      <c r="E111" s="247"/>
      <c r="F111" s="247"/>
      <c r="G111" s="247"/>
      <c r="H111" s="247"/>
    </row>
    <row r="112" spans="1:29">
      <c r="E112" s="247"/>
      <c r="F112" s="247"/>
      <c r="G112" s="247"/>
      <c r="H112" s="247"/>
    </row>
    <row r="113" spans="4:8" s="308" customFormat="1">
      <c r="D113" s="309"/>
    </row>
    <row r="114" spans="4:8">
      <c r="E114" s="247"/>
      <c r="F114" s="247"/>
      <c r="G114" s="247"/>
      <c r="H114" s="247"/>
    </row>
  </sheetData>
  <mergeCells count="6">
    <mergeCell ref="A56:F56"/>
    <mergeCell ref="A1:F1"/>
    <mergeCell ref="A2:F2"/>
    <mergeCell ref="A3:F3"/>
    <mergeCell ref="A54:F54"/>
    <mergeCell ref="A55:F55"/>
  </mergeCells>
  <pageMargins left="0.7" right="0.7" top="0.75" bottom="0.75" header="0.3" footer="0.3"/>
  <pageSetup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Q150"/>
  <sheetViews>
    <sheetView topLeftCell="A90" workbookViewId="0">
      <selection activeCell="E68" sqref="E68"/>
    </sheetView>
  </sheetViews>
  <sheetFormatPr defaultRowHeight="12.75"/>
  <cols>
    <col min="1" max="1" width="3.7109375" style="241" customWidth="1"/>
    <col min="2" max="2" width="4.42578125" style="241" customWidth="1"/>
    <col min="3" max="3" width="4.28515625" style="241" customWidth="1"/>
    <col min="4" max="4" width="58.7109375" style="241" customWidth="1"/>
    <col min="5" max="5" width="11.28515625" style="241" customWidth="1"/>
    <col min="6" max="6" width="13.28515625" style="241" customWidth="1"/>
    <col min="7" max="7" width="10.42578125" style="241" customWidth="1"/>
    <col min="8" max="8" width="9.7109375" style="241" bestFit="1" customWidth="1"/>
    <col min="9" max="9" width="9.5703125" style="241" customWidth="1"/>
    <col min="10" max="10" width="9.140625" style="241"/>
    <col min="11" max="11" width="4.5703125" style="241" customWidth="1"/>
    <col min="12" max="12" width="6.28515625" style="241" customWidth="1"/>
    <col min="13" max="13" width="52.5703125" style="241" bestFit="1" customWidth="1"/>
    <col min="14" max="15" width="10.42578125" style="241" bestFit="1" customWidth="1"/>
    <col min="16" max="17" width="11.140625" style="241" bestFit="1" customWidth="1"/>
    <col min="18" max="256" width="9.140625" style="241"/>
    <col min="257" max="257" width="3.7109375" style="241" customWidth="1"/>
    <col min="258" max="258" width="4.42578125" style="241" customWidth="1"/>
    <col min="259" max="259" width="4.28515625" style="241" customWidth="1"/>
    <col min="260" max="260" width="58.7109375" style="241" customWidth="1"/>
    <col min="261" max="261" width="11.28515625" style="241" customWidth="1"/>
    <col min="262" max="262" width="10" style="241" customWidth="1"/>
    <col min="263" max="263" width="10.42578125" style="241" customWidth="1"/>
    <col min="264" max="264" width="9.7109375" style="241" bestFit="1" customWidth="1"/>
    <col min="265" max="265" width="9.5703125" style="241" customWidth="1"/>
    <col min="266" max="266" width="9.140625" style="241"/>
    <col min="267" max="270" width="9.7109375" style="241" bestFit="1" customWidth="1"/>
    <col min="271" max="512" width="9.140625" style="241"/>
    <col min="513" max="513" width="3.7109375" style="241" customWidth="1"/>
    <col min="514" max="514" width="4.42578125" style="241" customWidth="1"/>
    <col min="515" max="515" width="4.28515625" style="241" customWidth="1"/>
    <col min="516" max="516" width="58.7109375" style="241" customWidth="1"/>
    <col min="517" max="517" width="11.28515625" style="241" customWidth="1"/>
    <col min="518" max="518" width="10" style="241" customWidth="1"/>
    <col min="519" max="519" width="10.42578125" style="241" customWidth="1"/>
    <col min="520" max="520" width="9.7109375" style="241" bestFit="1" customWidth="1"/>
    <col min="521" max="521" width="9.5703125" style="241" customWidth="1"/>
    <col min="522" max="522" width="9.140625" style="241"/>
    <col min="523" max="526" width="9.7109375" style="241" bestFit="1" customWidth="1"/>
    <col min="527" max="768" width="9.140625" style="241"/>
    <col min="769" max="769" width="3.7109375" style="241" customWidth="1"/>
    <col min="770" max="770" width="4.42578125" style="241" customWidth="1"/>
    <col min="771" max="771" width="4.28515625" style="241" customWidth="1"/>
    <col min="772" max="772" width="58.7109375" style="241" customWidth="1"/>
    <col min="773" max="773" width="11.28515625" style="241" customWidth="1"/>
    <col min="774" max="774" width="10" style="241" customWidth="1"/>
    <col min="775" max="775" width="10.42578125" style="241" customWidth="1"/>
    <col min="776" max="776" width="9.7109375" style="241" bestFit="1" customWidth="1"/>
    <col min="777" max="777" width="9.5703125" style="241" customWidth="1"/>
    <col min="778" max="778" width="9.140625" style="241"/>
    <col min="779" max="782" width="9.7109375" style="241" bestFit="1" customWidth="1"/>
    <col min="783" max="1024" width="9.140625" style="241"/>
    <col min="1025" max="1025" width="3.7109375" style="241" customWidth="1"/>
    <col min="1026" max="1026" width="4.42578125" style="241" customWidth="1"/>
    <col min="1027" max="1027" width="4.28515625" style="241" customWidth="1"/>
    <col min="1028" max="1028" width="58.7109375" style="241" customWidth="1"/>
    <col min="1029" max="1029" width="11.28515625" style="241" customWidth="1"/>
    <col min="1030" max="1030" width="10" style="241" customWidth="1"/>
    <col min="1031" max="1031" width="10.42578125" style="241" customWidth="1"/>
    <col min="1032" max="1032" width="9.7109375" style="241" bestFit="1" customWidth="1"/>
    <col min="1033" max="1033" width="9.5703125" style="241" customWidth="1"/>
    <col min="1034" max="1034" width="9.140625" style="241"/>
    <col min="1035" max="1038" width="9.7109375" style="241" bestFit="1" customWidth="1"/>
    <col min="1039" max="1280" width="9.140625" style="241"/>
    <col min="1281" max="1281" width="3.7109375" style="241" customWidth="1"/>
    <col min="1282" max="1282" width="4.42578125" style="241" customWidth="1"/>
    <col min="1283" max="1283" width="4.28515625" style="241" customWidth="1"/>
    <col min="1284" max="1284" width="58.7109375" style="241" customWidth="1"/>
    <col min="1285" max="1285" width="11.28515625" style="241" customWidth="1"/>
    <col min="1286" max="1286" width="10" style="241" customWidth="1"/>
    <col min="1287" max="1287" width="10.42578125" style="241" customWidth="1"/>
    <col min="1288" max="1288" width="9.7109375" style="241" bestFit="1" customWidth="1"/>
    <col min="1289" max="1289" width="9.5703125" style="241" customWidth="1"/>
    <col min="1290" max="1290" width="9.140625" style="241"/>
    <col min="1291" max="1294" width="9.7109375" style="241" bestFit="1" customWidth="1"/>
    <col min="1295" max="1536" width="9.140625" style="241"/>
    <col min="1537" max="1537" width="3.7109375" style="241" customWidth="1"/>
    <col min="1538" max="1538" width="4.42578125" style="241" customWidth="1"/>
    <col min="1539" max="1539" width="4.28515625" style="241" customWidth="1"/>
    <col min="1540" max="1540" width="58.7109375" style="241" customWidth="1"/>
    <col min="1541" max="1541" width="11.28515625" style="241" customWidth="1"/>
    <col min="1542" max="1542" width="10" style="241" customWidth="1"/>
    <col min="1543" max="1543" width="10.42578125" style="241" customWidth="1"/>
    <col min="1544" max="1544" width="9.7109375" style="241" bestFit="1" customWidth="1"/>
    <col min="1545" max="1545" width="9.5703125" style="241" customWidth="1"/>
    <col min="1546" max="1546" width="9.140625" style="241"/>
    <col min="1547" max="1550" width="9.7109375" style="241" bestFit="1" customWidth="1"/>
    <col min="1551" max="1792" width="9.140625" style="241"/>
    <col min="1793" max="1793" width="3.7109375" style="241" customWidth="1"/>
    <col min="1794" max="1794" width="4.42578125" style="241" customWidth="1"/>
    <col min="1795" max="1795" width="4.28515625" style="241" customWidth="1"/>
    <col min="1796" max="1796" width="58.7109375" style="241" customWidth="1"/>
    <col min="1797" max="1797" width="11.28515625" style="241" customWidth="1"/>
    <col min="1798" max="1798" width="10" style="241" customWidth="1"/>
    <col min="1799" max="1799" width="10.42578125" style="241" customWidth="1"/>
    <col min="1800" max="1800" width="9.7109375" style="241" bestFit="1" customWidth="1"/>
    <col min="1801" max="1801" width="9.5703125" style="241" customWidth="1"/>
    <col min="1802" max="1802" width="9.140625" style="241"/>
    <col min="1803" max="1806" width="9.7109375" style="241" bestFit="1" customWidth="1"/>
    <col min="1807" max="2048" width="9.140625" style="241"/>
    <col min="2049" max="2049" width="3.7109375" style="241" customWidth="1"/>
    <col min="2050" max="2050" width="4.42578125" style="241" customWidth="1"/>
    <col min="2051" max="2051" width="4.28515625" style="241" customWidth="1"/>
    <col min="2052" max="2052" width="58.7109375" style="241" customWidth="1"/>
    <col min="2053" max="2053" width="11.28515625" style="241" customWidth="1"/>
    <col min="2054" max="2054" width="10" style="241" customWidth="1"/>
    <col min="2055" max="2055" width="10.42578125" style="241" customWidth="1"/>
    <col min="2056" max="2056" width="9.7109375" style="241" bestFit="1" customWidth="1"/>
    <col min="2057" max="2057" width="9.5703125" style="241" customWidth="1"/>
    <col min="2058" max="2058" width="9.140625" style="241"/>
    <col min="2059" max="2062" width="9.7109375" style="241" bestFit="1" customWidth="1"/>
    <col min="2063" max="2304" width="9.140625" style="241"/>
    <col min="2305" max="2305" width="3.7109375" style="241" customWidth="1"/>
    <col min="2306" max="2306" width="4.42578125" style="241" customWidth="1"/>
    <col min="2307" max="2307" width="4.28515625" style="241" customWidth="1"/>
    <col min="2308" max="2308" width="58.7109375" style="241" customWidth="1"/>
    <col min="2309" max="2309" width="11.28515625" style="241" customWidth="1"/>
    <col min="2310" max="2310" width="10" style="241" customWidth="1"/>
    <col min="2311" max="2311" width="10.42578125" style="241" customWidth="1"/>
    <col min="2312" max="2312" width="9.7109375" style="241" bestFit="1" customWidth="1"/>
    <col min="2313" max="2313" width="9.5703125" style="241" customWidth="1"/>
    <col min="2314" max="2314" width="9.140625" style="241"/>
    <col min="2315" max="2318" width="9.7109375" style="241" bestFit="1" customWidth="1"/>
    <col min="2319" max="2560" width="9.140625" style="241"/>
    <col min="2561" max="2561" width="3.7109375" style="241" customWidth="1"/>
    <col min="2562" max="2562" width="4.42578125" style="241" customWidth="1"/>
    <col min="2563" max="2563" width="4.28515625" style="241" customWidth="1"/>
    <col min="2564" max="2564" width="58.7109375" style="241" customWidth="1"/>
    <col min="2565" max="2565" width="11.28515625" style="241" customWidth="1"/>
    <col min="2566" max="2566" width="10" style="241" customWidth="1"/>
    <col min="2567" max="2567" width="10.42578125" style="241" customWidth="1"/>
    <col min="2568" max="2568" width="9.7109375" style="241" bestFit="1" customWidth="1"/>
    <col min="2569" max="2569" width="9.5703125" style="241" customWidth="1"/>
    <col min="2570" max="2570" width="9.140625" style="241"/>
    <col min="2571" max="2574" width="9.7109375" style="241" bestFit="1" customWidth="1"/>
    <col min="2575" max="2816" width="9.140625" style="241"/>
    <col min="2817" max="2817" width="3.7109375" style="241" customWidth="1"/>
    <col min="2818" max="2818" width="4.42578125" style="241" customWidth="1"/>
    <col min="2819" max="2819" width="4.28515625" style="241" customWidth="1"/>
    <col min="2820" max="2820" width="58.7109375" style="241" customWidth="1"/>
    <col min="2821" max="2821" width="11.28515625" style="241" customWidth="1"/>
    <col min="2822" max="2822" width="10" style="241" customWidth="1"/>
    <col min="2823" max="2823" width="10.42578125" style="241" customWidth="1"/>
    <col min="2824" max="2824" width="9.7109375" style="241" bestFit="1" customWidth="1"/>
    <col min="2825" max="2825" width="9.5703125" style="241" customWidth="1"/>
    <col min="2826" max="2826" width="9.140625" style="241"/>
    <col min="2827" max="2830" width="9.7109375" style="241" bestFit="1" customWidth="1"/>
    <col min="2831" max="3072" width="9.140625" style="241"/>
    <col min="3073" max="3073" width="3.7109375" style="241" customWidth="1"/>
    <col min="3074" max="3074" width="4.42578125" style="241" customWidth="1"/>
    <col min="3075" max="3075" width="4.28515625" style="241" customWidth="1"/>
    <col min="3076" max="3076" width="58.7109375" style="241" customWidth="1"/>
    <col min="3077" max="3077" width="11.28515625" style="241" customWidth="1"/>
    <col min="3078" max="3078" width="10" style="241" customWidth="1"/>
    <col min="3079" max="3079" width="10.42578125" style="241" customWidth="1"/>
    <col min="3080" max="3080" width="9.7109375" style="241" bestFit="1" customWidth="1"/>
    <col min="3081" max="3081" width="9.5703125" style="241" customWidth="1"/>
    <col min="3082" max="3082" width="9.140625" style="241"/>
    <col min="3083" max="3086" width="9.7109375" style="241" bestFit="1" customWidth="1"/>
    <col min="3087" max="3328" width="9.140625" style="241"/>
    <col min="3329" max="3329" width="3.7109375" style="241" customWidth="1"/>
    <col min="3330" max="3330" width="4.42578125" style="241" customWidth="1"/>
    <col min="3331" max="3331" width="4.28515625" style="241" customWidth="1"/>
    <col min="3332" max="3332" width="58.7109375" style="241" customWidth="1"/>
    <col min="3333" max="3333" width="11.28515625" style="241" customWidth="1"/>
    <col min="3334" max="3334" width="10" style="241" customWidth="1"/>
    <col min="3335" max="3335" width="10.42578125" style="241" customWidth="1"/>
    <col min="3336" max="3336" width="9.7109375" style="241" bestFit="1" customWidth="1"/>
    <col min="3337" max="3337" width="9.5703125" style="241" customWidth="1"/>
    <col min="3338" max="3338" width="9.140625" style="241"/>
    <col min="3339" max="3342" width="9.7109375" style="241" bestFit="1" customWidth="1"/>
    <col min="3343" max="3584" width="9.140625" style="241"/>
    <col min="3585" max="3585" width="3.7109375" style="241" customWidth="1"/>
    <col min="3586" max="3586" width="4.42578125" style="241" customWidth="1"/>
    <col min="3587" max="3587" width="4.28515625" style="241" customWidth="1"/>
    <col min="3588" max="3588" width="58.7109375" style="241" customWidth="1"/>
    <col min="3589" max="3589" width="11.28515625" style="241" customWidth="1"/>
    <col min="3590" max="3590" width="10" style="241" customWidth="1"/>
    <col min="3591" max="3591" width="10.42578125" style="241" customWidth="1"/>
    <col min="3592" max="3592" width="9.7109375" style="241" bestFit="1" customWidth="1"/>
    <col min="3593" max="3593" width="9.5703125" style="241" customWidth="1"/>
    <col min="3594" max="3594" width="9.140625" style="241"/>
    <col min="3595" max="3598" width="9.7109375" style="241" bestFit="1" customWidth="1"/>
    <col min="3599" max="3840" width="9.140625" style="241"/>
    <col min="3841" max="3841" width="3.7109375" style="241" customWidth="1"/>
    <col min="3842" max="3842" width="4.42578125" style="241" customWidth="1"/>
    <col min="3843" max="3843" width="4.28515625" style="241" customWidth="1"/>
    <col min="3844" max="3844" width="58.7109375" style="241" customWidth="1"/>
    <col min="3845" max="3845" width="11.28515625" style="241" customWidth="1"/>
    <col min="3846" max="3846" width="10" style="241" customWidth="1"/>
    <col min="3847" max="3847" width="10.42578125" style="241" customWidth="1"/>
    <col min="3848" max="3848" width="9.7109375" style="241" bestFit="1" customWidth="1"/>
    <col min="3849" max="3849" width="9.5703125" style="241" customWidth="1"/>
    <col min="3850" max="3850" width="9.140625" style="241"/>
    <col min="3851" max="3854" width="9.7109375" style="241" bestFit="1" customWidth="1"/>
    <col min="3855" max="4096" width="9.140625" style="241"/>
    <col min="4097" max="4097" width="3.7109375" style="241" customWidth="1"/>
    <col min="4098" max="4098" width="4.42578125" style="241" customWidth="1"/>
    <col min="4099" max="4099" width="4.28515625" style="241" customWidth="1"/>
    <col min="4100" max="4100" width="58.7109375" style="241" customWidth="1"/>
    <col min="4101" max="4101" width="11.28515625" style="241" customWidth="1"/>
    <col min="4102" max="4102" width="10" style="241" customWidth="1"/>
    <col min="4103" max="4103" width="10.42578125" style="241" customWidth="1"/>
    <col min="4104" max="4104" width="9.7109375" style="241" bestFit="1" customWidth="1"/>
    <col min="4105" max="4105" width="9.5703125" style="241" customWidth="1"/>
    <col min="4106" max="4106" width="9.140625" style="241"/>
    <col min="4107" max="4110" width="9.7109375" style="241" bestFit="1" customWidth="1"/>
    <col min="4111" max="4352" width="9.140625" style="241"/>
    <col min="4353" max="4353" width="3.7109375" style="241" customWidth="1"/>
    <col min="4354" max="4354" width="4.42578125" style="241" customWidth="1"/>
    <col min="4355" max="4355" width="4.28515625" style="241" customWidth="1"/>
    <col min="4356" max="4356" width="58.7109375" style="241" customWidth="1"/>
    <col min="4357" max="4357" width="11.28515625" style="241" customWidth="1"/>
    <col min="4358" max="4358" width="10" style="241" customWidth="1"/>
    <col min="4359" max="4359" width="10.42578125" style="241" customWidth="1"/>
    <col min="4360" max="4360" width="9.7109375" style="241" bestFit="1" customWidth="1"/>
    <col min="4361" max="4361" width="9.5703125" style="241" customWidth="1"/>
    <col min="4362" max="4362" width="9.140625" style="241"/>
    <col min="4363" max="4366" width="9.7109375" style="241" bestFit="1" customWidth="1"/>
    <col min="4367" max="4608" width="9.140625" style="241"/>
    <col min="4609" max="4609" width="3.7109375" style="241" customWidth="1"/>
    <col min="4610" max="4610" width="4.42578125" style="241" customWidth="1"/>
    <col min="4611" max="4611" width="4.28515625" style="241" customWidth="1"/>
    <col min="4612" max="4612" width="58.7109375" style="241" customWidth="1"/>
    <col min="4613" max="4613" width="11.28515625" style="241" customWidth="1"/>
    <col min="4614" max="4614" width="10" style="241" customWidth="1"/>
    <col min="4615" max="4615" width="10.42578125" style="241" customWidth="1"/>
    <col min="4616" max="4616" width="9.7109375" style="241" bestFit="1" customWidth="1"/>
    <col min="4617" max="4617" width="9.5703125" style="241" customWidth="1"/>
    <col min="4618" max="4618" width="9.140625" style="241"/>
    <col min="4619" max="4622" width="9.7109375" style="241" bestFit="1" customWidth="1"/>
    <col min="4623" max="4864" width="9.140625" style="241"/>
    <col min="4865" max="4865" width="3.7109375" style="241" customWidth="1"/>
    <col min="4866" max="4866" width="4.42578125" style="241" customWidth="1"/>
    <col min="4867" max="4867" width="4.28515625" style="241" customWidth="1"/>
    <col min="4868" max="4868" width="58.7109375" style="241" customWidth="1"/>
    <col min="4869" max="4869" width="11.28515625" style="241" customWidth="1"/>
    <col min="4870" max="4870" width="10" style="241" customWidth="1"/>
    <col min="4871" max="4871" width="10.42578125" style="241" customWidth="1"/>
    <col min="4872" max="4872" width="9.7109375" style="241" bestFit="1" customWidth="1"/>
    <col min="4873" max="4873" width="9.5703125" style="241" customWidth="1"/>
    <col min="4874" max="4874" width="9.140625" style="241"/>
    <col min="4875" max="4878" width="9.7109375" style="241" bestFit="1" customWidth="1"/>
    <col min="4879" max="5120" width="9.140625" style="241"/>
    <col min="5121" max="5121" width="3.7109375" style="241" customWidth="1"/>
    <col min="5122" max="5122" width="4.42578125" style="241" customWidth="1"/>
    <col min="5123" max="5123" width="4.28515625" style="241" customWidth="1"/>
    <col min="5124" max="5124" width="58.7109375" style="241" customWidth="1"/>
    <col min="5125" max="5125" width="11.28515625" style="241" customWidth="1"/>
    <col min="5126" max="5126" width="10" style="241" customWidth="1"/>
    <col min="5127" max="5127" width="10.42578125" style="241" customWidth="1"/>
    <col min="5128" max="5128" width="9.7109375" style="241" bestFit="1" customWidth="1"/>
    <col min="5129" max="5129" width="9.5703125" style="241" customWidth="1"/>
    <col min="5130" max="5130" width="9.140625" style="241"/>
    <col min="5131" max="5134" width="9.7109375" style="241" bestFit="1" customWidth="1"/>
    <col min="5135" max="5376" width="9.140625" style="241"/>
    <col min="5377" max="5377" width="3.7109375" style="241" customWidth="1"/>
    <col min="5378" max="5378" width="4.42578125" style="241" customWidth="1"/>
    <col min="5379" max="5379" width="4.28515625" style="241" customWidth="1"/>
    <col min="5380" max="5380" width="58.7109375" style="241" customWidth="1"/>
    <col min="5381" max="5381" width="11.28515625" style="241" customWidth="1"/>
    <col min="5382" max="5382" width="10" style="241" customWidth="1"/>
    <col min="5383" max="5383" width="10.42578125" style="241" customWidth="1"/>
    <col min="5384" max="5384" width="9.7109375" style="241" bestFit="1" customWidth="1"/>
    <col min="5385" max="5385" width="9.5703125" style="241" customWidth="1"/>
    <col min="5386" max="5386" width="9.140625" style="241"/>
    <col min="5387" max="5390" width="9.7109375" style="241" bestFit="1" customWidth="1"/>
    <col min="5391" max="5632" width="9.140625" style="241"/>
    <col min="5633" max="5633" width="3.7109375" style="241" customWidth="1"/>
    <col min="5634" max="5634" width="4.42578125" style="241" customWidth="1"/>
    <col min="5635" max="5635" width="4.28515625" style="241" customWidth="1"/>
    <col min="5636" max="5636" width="58.7109375" style="241" customWidth="1"/>
    <col min="5637" max="5637" width="11.28515625" style="241" customWidth="1"/>
    <col min="5638" max="5638" width="10" style="241" customWidth="1"/>
    <col min="5639" max="5639" width="10.42578125" style="241" customWidth="1"/>
    <col min="5640" max="5640" width="9.7109375" style="241" bestFit="1" customWidth="1"/>
    <col min="5641" max="5641" width="9.5703125" style="241" customWidth="1"/>
    <col min="5642" max="5642" width="9.140625" style="241"/>
    <col min="5643" max="5646" width="9.7109375" style="241" bestFit="1" customWidth="1"/>
    <col min="5647" max="5888" width="9.140625" style="241"/>
    <col min="5889" max="5889" width="3.7109375" style="241" customWidth="1"/>
    <col min="5890" max="5890" width="4.42578125" style="241" customWidth="1"/>
    <col min="5891" max="5891" width="4.28515625" style="241" customWidth="1"/>
    <col min="5892" max="5892" width="58.7109375" style="241" customWidth="1"/>
    <col min="5893" max="5893" width="11.28515625" style="241" customWidth="1"/>
    <col min="5894" max="5894" width="10" style="241" customWidth="1"/>
    <col min="5895" max="5895" width="10.42578125" style="241" customWidth="1"/>
    <col min="5896" max="5896" width="9.7109375" style="241" bestFit="1" customWidth="1"/>
    <col min="5897" max="5897" width="9.5703125" style="241" customWidth="1"/>
    <col min="5898" max="5898" width="9.140625" style="241"/>
    <col min="5899" max="5902" width="9.7109375" style="241" bestFit="1" customWidth="1"/>
    <col min="5903" max="6144" width="9.140625" style="241"/>
    <col min="6145" max="6145" width="3.7109375" style="241" customWidth="1"/>
    <col min="6146" max="6146" width="4.42578125" style="241" customWidth="1"/>
    <col min="6147" max="6147" width="4.28515625" style="241" customWidth="1"/>
    <col min="6148" max="6148" width="58.7109375" style="241" customWidth="1"/>
    <col min="6149" max="6149" width="11.28515625" style="241" customWidth="1"/>
    <col min="6150" max="6150" width="10" style="241" customWidth="1"/>
    <col min="6151" max="6151" width="10.42578125" style="241" customWidth="1"/>
    <col min="6152" max="6152" width="9.7109375" style="241" bestFit="1" customWidth="1"/>
    <col min="6153" max="6153" width="9.5703125" style="241" customWidth="1"/>
    <col min="6154" max="6154" width="9.140625" style="241"/>
    <col min="6155" max="6158" width="9.7109375" style="241" bestFit="1" customWidth="1"/>
    <col min="6159" max="6400" width="9.140625" style="241"/>
    <col min="6401" max="6401" width="3.7109375" style="241" customWidth="1"/>
    <col min="6402" max="6402" width="4.42578125" style="241" customWidth="1"/>
    <col min="6403" max="6403" width="4.28515625" style="241" customWidth="1"/>
    <col min="6404" max="6404" width="58.7109375" style="241" customWidth="1"/>
    <col min="6405" max="6405" width="11.28515625" style="241" customWidth="1"/>
    <col min="6406" max="6406" width="10" style="241" customWidth="1"/>
    <col min="6407" max="6407" width="10.42578125" style="241" customWidth="1"/>
    <col min="6408" max="6408" width="9.7109375" style="241" bestFit="1" customWidth="1"/>
    <col min="6409" max="6409" width="9.5703125" style="241" customWidth="1"/>
    <col min="6410" max="6410" width="9.140625" style="241"/>
    <col min="6411" max="6414" width="9.7109375" style="241" bestFit="1" customWidth="1"/>
    <col min="6415" max="6656" width="9.140625" style="241"/>
    <col min="6657" max="6657" width="3.7109375" style="241" customWidth="1"/>
    <col min="6658" max="6658" width="4.42578125" style="241" customWidth="1"/>
    <col min="6659" max="6659" width="4.28515625" style="241" customWidth="1"/>
    <col min="6660" max="6660" width="58.7109375" style="241" customWidth="1"/>
    <col min="6661" max="6661" width="11.28515625" style="241" customWidth="1"/>
    <col min="6662" max="6662" width="10" style="241" customWidth="1"/>
    <col min="6663" max="6663" width="10.42578125" style="241" customWidth="1"/>
    <col min="6664" max="6664" width="9.7109375" style="241" bestFit="1" customWidth="1"/>
    <col min="6665" max="6665" width="9.5703125" style="241" customWidth="1"/>
    <col min="6666" max="6666" width="9.140625" style="241"/>
    <col min="6667" max="6670" width="9.7109375" style="241" bestFit="1" customWidth="1"/>
    <col min="6671" max="6912" width="9.140625" style="241"/>
    <col min="6913" max="6913" width="3.7109375" style="241" customWidth="1"/>
    <col min="6914" max="6914" width="4.42578125" style="241" customWidth="1"/>
    <col min="6915" max="6915" width="4.28515625" style="241" customWidth="1"/>
    <col min="6916" max="6916" width="58.7109375" style="241" customWidth="1"/>
    <col min="6917" max="6917" width="11.28515625" style="241" customWidth="1"/>
    <col min="6918" max="6918" width="10" style="241" customWidth="1"/>
    <col min="6919" max="6919" width="10.42578125" style="241" customWidth="1"/>
    <col min="6920" max="6920" width="9.7109375" style="241" bestFit="1" customWidth="1"/>
    <col min="6921" max="6921" width="9.5703125" style="241" customWidth="1"/>
    <col min="6922" max="6922" width="9.140625" style="241"/>
    <col min="6923" max="6926" width="9.7109375" style="241" bestFit="1" customWidth="1"/>
    <col min="6927" max="7168" width="9.140625" style="241"/>
    <col min="7169" max="7169" width="3.7109375" style="241" customWidth="1"/>
    <col min="7170" max="7170" width="4.42578125" style="241" customWidth="1"/>
    <col min="7171" max="7171" width="4.28515625" style="241" customWidth="1"/>
    <col min="7172" max="7172" width="58.7109375" style="241" customWidth="1"/>
    <col min="7173" max="7173" width="11.28515625" style="241" customWidth="1"/>
    <col min="7174" max="7174" width="10" style="241" customWidth="1"/>
    <col min="7175" max="7175" width="10.42578125" style="241" customWidth="1"/>
    <col min="7176" max="7176" width="9.7109375" style="241" bestFit="1" customWidth="1"/>
    <col min="7177" max="7177" width="9.5703125" style="241" customWidth="1"/>
    <col min="7178" max="7178" width="9.140625" style="241"/>
    <col min="7179" max="7182" width="9.7109375" style="241" bestFit="1" customWidth="1"/>
    <col min="7183" max="7424" width="9.140625" style="241"/>
    <col min="7425" max="7425" width="3.7109375" style="241" customWidth="1"/>
    <col min="7426" max="7426" width="4.42578125" style="241" customWidth="1"/>
    <col min="7427" max="7427" width="4.28515625" style="241" customWidth="1"/>
    <col min="7428" max="7428" width="58.7109375" style="241" customWidth="1"/>
    <col min="7429" max="7429" width="11.28515625" style="241" customWidth="1"/>
    <col min="7430" max="7430" width="10" style="241" customWidth="1"/>
    <col min="7431" max="7431" width="10.42578125" style="241" customWidth="1"/>
    <col min="7432" max="7432" width="9.7109375" style="241" bestFit="1" customWidth="1"/>
    <col min="7433" max="7433" width="9.5703125" style="241" customWidth="1"/>
    <col min="7434" max="7434" width="9.140625" style="241"/>
    <col min="7435" max="7438" width="9.7109375" style="241" bestFit="1" customWidth="1"/>
    <col min="7439" max="7680" width="9.140625" style="241"/>
    <col min="7681" max="7681" width="3.7109375" style="241" customWidth="1"/>
    <col min="7682" max="7682" width="4.42578125" style="241" customWidth="1"/>
    <col min="7683" max="7683" width="4.28515625" style="241" customWidth="1"/>
    <col min="7684" max="7684" width="58.7109375" style="241" customWidth="1"/>
    <col min="7685" max="7685" width="11.28515625" style="241" customWidth="1"/>
    <col min="7686" max="7686" width="10" style="241" customWidth="1"/>
    <col min="7687" max="7687" width="10.42578125" style="241" customWidth="1"/>
    <col min="7688" max="7688" width="9.7109375" style="241" bestFit="1" customWidth="1"/>
    <col min="7689" max="7689" width="9.5703125" style="241" customWidth="1"/>
    <col min="7690" max="7690" width="9.140625" style="241"/>
    <col min="7691" max="7694" width="9.7109375" style="241" bestFit="1" customWidth="1"/>
    <col min="7695" max="7936" width="9.140625" style="241"/>
    <col min="7937" max="7937" width="3.7109375" style="241" customWidth="1"/>
    <col min="7938" max="7938" width="4.42578125" style="241" customWidth="1"/>
    <col min="7939" max="7939" width="4.28515625" style="241" customWidth="1"/>
    <col min="7940" max="7940" width="58.7109375" style="241" customWidth="1"/>
    <col min="7941" max="7941" width="11.28515625" style="241" customWidth="1"/>
    <col min="7942" max="7942" width="10" style="241" customWidth="1"/>
    <col min="7943" max="7943" width="10.42578125" style="241" customWidth="1"/>
    <col min="7944" max="7944" width="9.7109375" style="241" bestFit="1" customWidth="1"/>
    <col min="7945" max="7945" width="9.5703125" style="241" customWidth="1"/>
    <col min="7946" max="7946" width="9.140625" style="241"/>
    <col min="7947" max="7950" width="9.7109375" style="241" bestFit="1" customWidth="1"/>
    <col min="7951" max="8192" width="9.140625" style="241"/>
    <col min="8193" max="8193" width="3.7109375" style="241" customWidth="1"/>
    <col min="8194" max="8194" width="4.42578125" style="241" customWidth="1"/>
    <col min="8195" max="8195" width="4.28515625" style="241" customWidth="1"/>
    <col min="8196" max="8196" width="58.7109375" style="241" customWidth="1"/>
    <col min="8197" max="8197" width="11.28515625" style="241" customWidth="1"/>
    <col min="8198" max="8198" width="10" style="241" customWidth="1"/>
    <col min="8199" max="8199" width="10.42578125" style="241" customWidth="1"/>
    <col min="8200" max="8200" width="9.7109375" style="241" bestFit="1" customWidth="1"/>
    <col min="8201" max="8201" width="9.5703125" style="241" customWidth="1"/>
    <col min="8202" max="8202" width="9.140625" style="241"/>
    <col min="8203" max="8206" width="9.7109375" style="241" bestFit="1" customWidth="1"/>
    <col min="8207" max="8448" width="9.140625" style="241"/>
    <col min="8449" max="8449" width="3.7109375" style="241" customWidth="1"/>
    <col min="8450" max="8450" width="4.42578125" style="241" customWidth="1"/>
    <col min="8451" max="8451" width="4.28515625" style="241" customWidth="1"/>
    <col min="8452" max="8452" width="58.7109375" style="241" customWidth="1"/>
    <col min="8453" max="8453" width="11.28515625" style="241" customWidth="1"/>
    <col min="8454" max="8454" width="10" style="241" customWidth="1"/>
    <col min="8455" max="8455" width="10.42578125" style="241" customWidth="1"/>
    <col min="8456" max="8456" width="9.7109375" style="241" bestFit="1" customWidth="1"/>
    <col min="8457" max="8457" width="9.5703125" style="241" customWidth="1"/>
    <col min="8458" max="8458" width="9.140625" style="241"/>
    <col min="8459" max="8462" width="9.7109375" style="241" bestFit="1" customWidth="1"/>
    <col min="8463" max="8704" width="9.140625" style="241"/>
    <col min="8705" max="8705" width="3.7109375" style="241" customWidth="1"/>
    <col min="8706" max="8706" width="4.42578125" style="241" customWidth="1"/>
    <col min="8707" max="8707" width="4.28515625" style="241" customWidth="1"/>
    <col min="8708" max="8708" width="58.7109375" style="241" customWidth="1"/>
    <col min="8709" max="8709" width="11.28515625" style="241" customWidth="1"/>
    <col min="8710" max="8710" width="10" style="241" customWidth="1"/>
    <col min="8711" max="8711" width="10.42578125" style="241" customWidth="1"/>
    <col min="8712" max="8712" width="9.7109375" style="241" bestFit="1" customWidth="1"/>
    <col min="8713" max="8713" width="9.5703125" style="241" customWidth="1"/>
    <col min="8714" max="8714" width="9.140625" style="241"/>
    <col min="8715" max="8718" width="9.7109375" style="241" bestFit="1" customWidth="1"/>
    <col min="8719" max="8960" width="9.140625" style="241"/>
    <col min="8961" max="8961" width="3.7109375" style="241" customWidth="1"/>
    <col min="8962" max="8962" width="4.42578125" style="241" customWidth="1"/>
    <col min="8963" max="8963" width="4.28515625" style="241" customWidth="1"/>
    <col min="8964" max="8964" width="58.7109375" style="241" customWidth="1"/>
    <col min="8965" max="8965" width="11.28515625" style="241" customWidth="1"/>
    <col min="8966" max="8966" width="10" style="241" customWidth="1"/>
    <col min="8967" max="8967" width="10.42578125" style="241" customWidth="1"/>
    <col min="8968" max="8968" width="9.7109375" style="241" bestFit="1" customWidth="1"/>
    <col min="8969" max="8969" width="9.5703125" style="241" customWidth="1"/>
    <col min="8970" max="8970" width="9.140625" style="241"/>
    <col min="8971" max="8974" width="9.7109375" style="241" bestFit="1" customWidth="1"/>
    <col min="8975" max="9216" width="9.140625" style="241"/>
    <col min="9217" max="9217" width="3.7109375" style="241" customWidth="1"/>
    <col min="9218" max="9218" width="4.42578125" style="241" customWidth="1"/>
    <col min="9219" max="9219" width="4.28515625" style="241" customWidth="1"/>
    <col min="9220" max="9220" width="58.7109375" style="241" customWidth="1"/>
    <col min="9221" max="9221" width="11.28515625" style="241" customWidth="1"/>
    <col min="9222" max="9222" width="10" style="241" customWidth="1"/>
    <col min="9223" max="9223" width="10.42578125" style="241" customWidth="1"/>
    <col min="9224" max="9224" width="9.7109375" style="241" bestFit="1" customWidth="1"/>
    <col min="9225" max="9225" width="9.5703125" style="241" customWidth="1"/>
    <col min="9226" max="9226" width="9.140625" style="241"/>
    <col min="9227" max="9230" width="9.7109375" style="241" bestFit="1" customWidth="1"/>
    <col min="9231" max="9472" width="9.140625" style="241"/>
    <col min="9473" max="9473" width="3.7109375" style="241" customWidth="1"/>
    <col min="9474" max="9474" width="4.42578125" style="241" customWidth="1"/>
    <col min="9475" max="9475" width="4.28515625" style="241" customWidth="1"/>
    <col min="9476" max="9476" width="58.7109375" style="241" customWidth="1"/>
    <col min="9477" max="9477" width="11.28515625" style="241" customWidth="1"/>
    <col min="9478" max="9478" width="10" style="241" customWidth="1"/>
    <col min="9479" max="9479" width="10.42578125" style="241" customWidth="1"/>
    <col min="9480" max="9480" width="9.7109375" style="241" bestFit="1" customWidth="1"/>
    <col min="9481" max="9481" width="9.5703125" style="241" customWidth="1"/>
    <col min="9482" max="9482" width="9.140625" style="241"/>
    <col min="9483" max="9486" width="9.7109375" style="241" bestFit="1" customWidth="1"/>
    <col min="9487" max="9728" width="9.140625" style="241"/>
    <col min="9729" max="9729" width="3.7109375" style="241" customWidth="1"/>
    <col min="9730" max="9730" width="4.42578125" style="241" customWidth="1"/>
    <col min="9731" max="9731" width="4.28515625" style="241" customWidth="1"/>
    <col min="9732" max="9732" width="58.7109375" style="241" customWidth="1"/>
    <col min="9733" max="9733" width="11.28515625" style="241" customWidth="1"/>
    <col min="9734" max="9734" width="10" style="241" customWidth="1"/>
    <col min="9735" max="9735" width="10.42578125" style="241" customWidth="1"/>
    <col min="9736" max="9736" width="9.7109375" style="241" bestFit="1" customWidth="1"/>
    <col min="9737" max="9737" width="9.5703125" style="241" customWidth="1"/>
    <col min="9738" max="9738" width="9.140625" style="241"/>
    <col min="9739" max="9742" width="9.7109375" style="241" bestFit="1" customWidth="1"/>
    <col min="9743" max="9984" width="9.140625" style="241"/>
    <col min="9985" max="9985" width="3.7109375" style="241" customWidth="1"/>
    <col min="9986" max="9986" width="4.42578125" style="241" customWidth="1"/>
    <col min="9987" max="9987" width="4.28515625" style="241" customWidth="1"/>
    <col min="9988" max="9988" width="58.7109375" style="241" customWidth="1"/>
    <col min="9989" max="9989" width="11.28515625" style="241" customWidth="1"/>
    <col min="9990" max="9990" width="10" style="241" customWidth="1"/>
    <col min="9991" max="9991" width="10.42578125" style="241" customWidth="1"/>
    <col min="9992" max="9992" width="9.7109375" style="241" bestFit="1" customWidth="1"/>
    <col min="9993" max="9993" width="9.5703125" style="241" customWidth="1"/>
    <col min="9994" max="9994" width="9.140625" style="241"/>
    <col min="9995" max="9998" width="9.7109375" style="241" bestFit="1" customWidth="1"/>
    <col min="9999" max="10240" width="9.140625" style="241"/>
    <col min="10241" max="10241" width="3.7109375" style="241" customWidth="1"/>
    <col min="10242" max="10242" width="4.42578125" style="241" customWidth="1"/>
    <col min="10243" max="10243" width="4.28515625" style="241" customWidth="1"/>
    <col min="10244" max="10244" width="58.7109375" style="241" customWidth="1"/>
    <col min="10245" max="10245" width="11.28515625" style="241" customWidth="1"/>
    <col min="10246" max="10246" width="10" style="241" customWidth="1"/>
    <col min="10247" max="10247" width="10.42578125" style="241" customWidth="1"/>
    <col min="10248" max="10248" width="9.7109375" style="241" bestFit="1" customWidth="1"/>
    <col min="10249" max="10249" width="9.5703125" style="241" customWidth="1"/>
    <col min="10250" max="10250" width="9.140625" style="241"/>
    <col min="10251" max="10254" width="9.7109375" style="241" bestFit="1" customWidth="1"/>
    <col min="10255" max="10496" width="9.140625" style="241"/>
    <col min="10497" max="10497" width="3.7109375" style="241" customWidth="1"/>
    <col min="10498" max="10498" width="4.42578125" style="241" customWidth="1"/>
    <col min="10499" max="10499" width="4.28515625" style="241" customWidth="1"/>
    <col min="10500" max="10500" width="58.7109375" style="241" customWidth="1"/>
    <col min="10501" max="10501" width="11.28515625" style="241" customWidth="1"/>
    <col min="10502" max="10502" width="10" style="241" customWidth="1"/>
    <col min="10503" max="10503" width="10.42578125" style="241" customWidth="1"/>
    <col min="10504" max="10504" width="9.7109375" style="241" bestFit="1" customWidth="1"/>
    <col min="10505" max="10505" width="9.5703125" style="241" customWidth="1"/>
    <col min="10506" max="10506" width="9.140625" style="241"/>
    <col min="10507" max="10510" width="9.7109375" style="241" bestFit="1" customWidth="1"/>
    <col min="10511" max="10752" width="9.140625" style="241"/>
    <col min="10753" max="10753" width="3.7109375" style="241" customWidth="1"/>
    <col min="10754" max="10754" width="4.42578125" style="241" customWidth="1"/>
    <col min="10755" max="10755" width="4.28515625" style="241" customWidth="1"/>
    <col min="10756" max="10756" width="58.7109375" style="241" customWidth="1"/>
    <col min="10757" max="10757" width="11.28515625" style="241" customWidth="1"/>
    <col min="10758" max="10758" width="10" style="241" customWidth="1"/>
    <col min="10759" max="10759" width="10.42578125" style="241" customWidth="1"/>
    <col min="10760" max="10760" width="9.7109375" style="241" bestFit="1" customWidth="1"/>
    <col min="10761" max="10761" width="9.5703125" style="241" customWidth="1"/>
    <col min="10762" max="10762" width="9.140625" style="241"/>
    <col min="10763" max="10766" width="9.7109375" style="241" bestFit="1" customWidth="1"/>
    <col min="10767" max="11008" width="9.140625" style="241"/>
    <col min="11009" max="11009" width="3.7109375" style="241" customWidth="1"/>
    <col min="11010" max="11010" width="4.42578125" style="241" customWidth="1"/>
    <col min="11011" max="11011" width="4.28515625" style="241" customWidth="1"/>
    <col min="11012" max="11012" width="58.7109375" style="241" customWidth="1"/>
    <col min="11013" max="11013" width="11.28515625" style="241" customWidth="1"/>
    <col min="11014" max="11014" width="10" style="241" customWidth="1"/>
    <col min="11015" max="11015" width="10.42578125" style="241" customWidth="1"/>
    <col min="11016" max="11016" width="9.7109375" style="241" bestFit="1" customWidth="1"/>
    <col min="11017" max="11017" width="9.5703125" style="241" customWidth="1"/>
    <col min="11018" max="11018" width="9.140625" style="241"/>
    <col min="11019" max="11022" width="9.7109375" style="241" bestFit="1" customWidth="1"/>
    <col min="11023" max="11264" width="9.140625" style="241"/>
    <col min="11265" max="11265" width="3.7109375" style="241" customWidth="1"/>
    <col min="11266" max="11266" width="4.42578125" style="241" customWidth="1"/>
    <col min="11267" max="11267" width="4.28515625" style="241" customWidth="1"/>
    <col min="11268" max="11268" width="58.7109375" style="241" customWidth="1"/>
    <col min="11269" max="11269" width="11.28515625" style="241" customWidth="1"/>
    <col min="11270" max="11270" width="10" style="241" customWidth="1"/>
    <col min="11271" max="11271" width="10.42578125" style="241" customWidth="1"/>
    <col min="11272" max="11272" width="9.7109375" style="241" bestFit="1" customWidth="1"/>
    <col min="11273" max="11273" width="9.5703125" style="241" customWidth="1"/>
    <col min="11274" max="11274" width="9.140625" style="241"/>
    <col min="11275" max="11278" width="9.7109375" style="241" bestFit="1" customWidth="1"/>
    <col min="11279" max="11520" width="9.140625" style="241"/>
    <col min="11521" max="11521" width="3.7109375" style="241" customWidth="1"/>
    <col min="11522" max="11522" width="4.42578125" style="241" customWidth="1"/>
    <col min="11523" max="11523" width="4.28515625" style="241" customWidth="1"/>
    <col min="11524" max="11524" width="58.7109375" style="241" customWidth="1"/>
    <col min="11525" max="11525" width="11.28515625" style="241" customWidth="1"/>
    <col min="11526" max="11526" width="10" style="241" customWidth="1"/>
    <col min="11527" max="11527" width="10.42578125" style="241" customWidth="1"/>
    <col min="11528" max="11528" width="9.7109375" style="241" bestFit="1" customWidth="1"/>
    <col min="11529" max="11529" width="9.5703125" style="241" customWidth="1"/>
    <col min="11530" max="11530" width="9.140625" style="241"/>
    <col min="11531" max="11534" width="9.7109375" style="241" bestFit="1" customWidth="1"/>
    <col min="11535" max="11776" width="9.140625" style="241"/>
    <col min="11777" max="11777" width="3.7109375" style="241" customWidth="1"/>
    <col min="11778" max="11778" width="4.42578125" style="241" customWidth="1"/>
    <col min="11779" max="11779" width="4.28515625" style="241" customWidth="1"/>
    <col min="11780" max="11780" width="58.7109375" style="241" customWidth="1"/>
    <col min="11781" max="11781" width="11.28515625" style="241" customWidth="1"/>
    <col min="11782" max="11782" width="10" style="241" customWidth="1"/>
    <col min="11783" max="11783" width="10.42578125" style="241" customWidth="1"/>
    <col min="11784" max="11784" width="9.7109375" style="241" bestFit="1" customWidth="1"/>
    <col min="11785" max="11785" width="9.5703125" style="241" customWidth="1"/>
    <col min="11786" max="11786" width="9.140625" style="241"/>
    <col min="11787" max="11790" width="9.7109375" style="241" bestFit="1" customWidth="1"/>
    <col min="11791" max="12032" width="9.140625" style="241"/>
    <col min="12033" max="12033" width="3.7109375" style="241" customWidth="1"/>
    <col min="12034" max="12034" width="4.42578125" style="241" customWidth="1"/>
    <col min="12035" max="12035" width="4.28515625" style="241" customWidth="1"/>
    <col min="12036" max="12036" width="58.7109375" style="241" customWidth="1"/>
    <col min="12037" max="12037" width="11.28515625" style="241" customWidth="1"/>
    <col min="12038" max="12038" width="10" style="241" customWidth="1"/>
    <col min="12039" max="12039" width="10.42578125" style="241" customWidth="1"/>
    <col min="12040" max="12040" width="9.7109375" style="241" bestFit="1" customWidth="1"/>
    <col min="12041" max="12041" width="9.5703125" style="241" customWidth="1"/>
    <col min="12042" max="12042" width="9.140625" style="241"/>
    <col min="12043" max="12046" width="9.7109375" style="241" bestFit="1" customWidth="1"/>
    <col min="12047" max="12288" width="9.140625" style="241"/>
    <col min="12289" max="12289" width="3.7109375" style="241" customWidth="1"/>
    <col min="12290" max="12290" width="4.42578125" style="241" customWidth="1"/>
    <col min="12291" max="12291" width="4.28515625" style="241" customWidth="1"/>
    <col min="12292" max="12292" width="58.7109375" style="241" customWidth="1"/>
    <col min="12293" max="12293" width="11.28515625" style="241" customWidth="1"/>
    <col min="12294" max="12294" width="10" style="241" customWidth="1"/>
    <col min="12295" max="12295" width="10.42578125" style="241" customWidth="1"/>
    <col min="12296" max="12296" width="9.7109375" style="241" bestFit="1" customWidth="1"/>
    <col min="12297" max="12297" width="9.5703125" style="241" customWidth="1"/>
    <col min="12298" max="12298" width="9.140625" style="241"/>
    <col min="12299" max="12302" width="9.7109375" style="241" bestFit="1" customWidth="1"/>
    <col min="12303" max="12544" width="9.140625" style="241"/>
    <col min="12545" max="12545" width="3.7109375" style="241" customWidth="1"/>
    <col min="12546" max="12546" width="4.42578125" style="241" customWidth="1"/>
    <col min="12547" max="12547" width="4.28515625" style="241" customWidth="1"/>
    <col min="12548" max="12548" width="58.7109375" style="241" customWidth="1"/>
    <col min="12549" max="12549" width="11.28515625" style="241" customWidth="1"/>
    <col min="12550" max="12550" width="10" style="241" customWidth="1"/>
    <col min="12551" max="12551" width="10.42578125" style="241" customWidth="1"/>
    <col min="12552" max="12552" width="9.7109375" style="241" bestFit="1" customWidth="1"/>
    <col min="12553" max="12553" width="9.5703125" style="241" customWidth="1"/>
    <col min="12554" max="12554" width="9.140625" style="241"/>
    <col min="12555" max="12558" width="9.7109375" style="241" bestFit="1" customWidth="1"/>
    <col min="12559" max="12800" width="9.140625" style="241"/>
    <col min="12801" max="12801" width="3.7109375" style="241" customWidth="1"/>
    <col min="12802" max="12802" width="4.42578125" style="241" customWidth="1"/>
    <col min="12803" max="12803" width="4.28515625" style="241" customWidth="1"/>
    <col min="12804" max="12804" width="58.7109375" style="241" customWidth="1"/>
    <col min="12805" max="12805" width="11.28515625" style="241" customWidth="1"/>
    <col min="12806" max="12806" width="10" style="241" customWidth="1"/>
    <col min="12807" max="12807" width="10.42578125" style="241" customWidth="1"/>
    <col min="12808" max="12808" width="9.7109375" style="241" bestFit="1" customWidth="1"/>
    <col min="12809" max="12809" width="9.5703125" style="241" customWidth="1"/>
    <col min="12810" max="12810" width="9.140625" style="241"/>
    <col min="12811" max="12814" width="9.7109375" style="241" bestFit="1" customWidth="1"/>
    <col min="12815" max="13056" width="9.140625" style="241"/>
    <col min="13057" max="13057" width="3.7109375" style="241" customWidth="1"/>
    <col min="13058" max="13058" width="4.42578125" style="241" customWidth="1"/>
    <col min="13059" max="13059" width="4.28515625" style="241" customWidth="1"/>
    <col min="13060" max="13060" width="58.7109375" style="241" customWidth="1"/>
    <col min="13061" max="13061" width="11.28515625" style="241" customWidth="1"/>
    <col min="13062" max="13062" width="10" style="241" customWidth="1"/>
    <col min="13063" max="13063" width="10.42578125" style="241" customWidth="1"/>
    <col min="13064" max="13064" width="9.7109375" style="241" bestFit="1" customWidth="1"/>
    <col min="13065" max="13065" width="9.5703125" style="241" customWidth="1"/>
    <col min="13066" max="13066" width="9.140625" style="241"/>
    <col min="13067" max="13070" width="9.7109375" style="241" bestFit="1" customWidth="1"/>
    <col min="13071" max="13312" width="9.140625" style="241"/>
    <col min="13313" max="13313" width="3.7109375" style="241" customWidth="1"/>
    <col min="13314" max="13314" width="4.42578125" style="241" customWidth="1"/>
    <col min="13315" max="13315" width="4.28515625" style="241" customWidth="1"/>
    <col min="13316" max="13316" width="58.7109375" style="241" customWidth="1"/>
    <col min="13317" max="13317" width="11.28515625" style="241" customWidth="1"/>
    <col min="13318" max="13318" width="10" style="241" customWidth="1"/>
    <col min="13319" max="13319" width="10.42578125" style="241" customWidth="1"/>
    <col min="13320" max="13320" width="9.7109375" style="241" bestFit="1" customWidth="1"/>
    <col min="13321" max="13321" width="9.5703125" style="241" customWidth="1"/>
    <col min="13322" max="13322" width="9.140625" style="241"/>
    <col min="13323" max="13326" width="9.7109375" style="241" bestFit="1" customWidth="1"/>
    <col min="13327" max="13568" width="9.140625" style="241"/>
    <col min="13569" max="13569" width="3.7109375" style="241" customWidth="1"/>
    <col min="13570" max="13570" width="4.42578125" style="241" customWidth="1"/>
    <col min="13571" max="13571" width="4.28515625" style="241" customWidth="1"/>
    <col min="13572" max="13572" width="58.7109375" style="241" customWidth="1"/>
    <col min="13573" max="13573" width="11.28515625" style="241" customWidth="1"/>
    <col min="13574" max="13574" width="10" style="241" customWidth="1"/>
    <col min="13575" max="13575" width="10.42578125" style="241" customWidth="1"/>
    <col min="13576" max="13576" width="9.7109375" style="241" bestFit="1" customWidth="1"/>
    <col min="13577" max="13577" width="9.5703125" style="241" customWidth="1"/>
    <col min="13578" max="13578" width="9.140625" style="241"/>
    <col min="13579" max="13582" width="9.7109375" style="241" bestFit="1" customWidth="1"/>
    <col min="13583" max="13824" width="9.140625" style="241"/>
    <col min="13825" max="13825" width="3.7109375" style="241" customWidth="1"/>
    <col min="13826" max="13826" width="4.42578125" style="241" customWidth="1"/>
    <col min="13827" max="13827" width="4.28515625" style="241" customWidth="1"/>
    <col min="13828" max="13828" width="58.7109375" style="241" customWidth="1"/>
    <col min="13829" max="13829" width="11.28515625" style="241" customWidth="1"/>
    <col min="13830" max="13830" width="10" style="241" customWidth="1"/>
    <col min="13831" max="13831" width="10.42578125" style="241" customWidth="1"/>
    <col min="13832" max="13832" width="9.7109375" style="241" bestFit="1" customWidth="1"/>
    <col min="13833" max="13833" width="9.5703125" style="241" customWidth="1"/>
    <col min="13834" max="13834" width="9.140625" style="241"/>
    <col min="13835" max="13838" width="9.7109375" style="241" bestFit="1" customWidth="1"/>
    <col min="13839" max="14080" width="9.140625" style="241"/>
    <col min="14081" max="14081" width="3.7109375" style="241" customWidth="1"/>
    <col min="14082" max="14082" width="4.42578125" style="241" customWidth="1"/>
    <col min="14083" max="14083" width="4.28515625" style="241" customWidth="1"/>
    <col min="14084" max="14084" width="58.7109375" style="241" customWidth="1"/>
    <col min="14085" max="14085" width="11.28515625" style="241" customWidth="1"/>
    <col min="14086" max="14086" width="10" style="241" customWidth="1"/>
    <col min="14087" max="14087" width="10.42578125" style="241" customWidth="1"/>
    <col min="14088" max="14088" width="9.7109375" style="241" bestFit="1" customWidth="1"/>
    <col min="14089" max="14089" width="9.5703125" style="241" customWidth="1"/>
    <col min="14090" max="14090" width="9.140625" style="241"/>
    <col min="14091" max="14094" width="9.7109375" style="241" bestFit="1" customWidth="1"/>
    <col min="14095" max="14336" width="9.140625" style="241"/>
    <col min="14337" max="14337" width="3.7109375" style="241" customWidth="1"/>
    <col min="14338" max="14338" width="4.42578125" style="241" customWidth="1"/>
    <col min="14339" max="14339" width="4.28515625" style="241" customWidth="1"/>
    <col min="14340" max="14340" width="58.7109375" style="241" customWidth="1"/>
    <col min="14341" max="14341" width="11.28515625" style="241" customWidth="1"/>
    <col min="14342" max="14342" width="10" style="241" customWidth="1"/>
    <col min="14343" max="14343" width="10.42578125" style="241" customWidth="1"/>
    <col min="14344" max="14344" width="9.7109375" style="241" bestFit="1" customWidth="1"/>
    <col min="14345" max="14345" width="9.5703125" style="241" customWidth="1"/>
    <col min="14346" max="14346" width="9.140625" style="241"/>
    <col min="14347" max="14350" width="9.7109375" style="241" bestFit="1" customWidth="1"/>
    <col min="14351" max="14592" width="9.140625" style="241"/>
    <col min="14593" max="14593" width="3.7109375" style="241" customWidth="1"/>
    <col min="14594" max="14594" width="4.42578125" style="241" customWidth="1"/>
    <col min="14595" max="14595" width="4.28515625" style="241" customWidth="1"/>
    <col min="14596" max="14596" width="58.7109375" style="241" customWidth="1"/>
    <col min="14597" max="14597" width="11.28515625" style="241" customWidth="1"/>
    <col min="14598" max="14598" width="10" style="241" customWidth="1"/>
    <col min="14599" max="14599" width="10.42578125" style="241" customWidth="1"/>
    <col min="14600" max="14600" width="9.7109375" style="241" bestFit="1" customWidth="1"/>
    <col min="14601" max="14601" width="9.5703125" style="241" customWidth="1"/>
    <col min="14602" max="14602" width="9.140625" style="241"/>
    <col min="14603" max="14606" width="9.7109375" style="241" bestFit="1" customWidth="1"/>
    <col min="14607" max="14848" width="9.140625" style="241"/>
    <col min="14849" max="14849" width="3.7109375" style="241" customWidth="1"/>
    <col min="14850" max="14850" width="4.42578125" style="241" customWidth="1"/>
    <col min="14851" max="14851" width="4.28515625" style="241" customWidth="1"/>
    <col min="14852" max="14852" width="58.7109375" style="241" customWidth="1"/>
    <col min="14853" max="14853" width="11.28515625" style="241" customWidth="1"/>
    <col min="14854" max="14854" width="10" style="241" customWidth="1"/>
    <col min="14855" max="14855" width="10.42578125" style="241" customWidth="1"/>
    <col min="14856" max="14856" width="9.7109375" style="241" bestFit="1" customWidth="1"/>
    <col min="14857" max="14857" width="9.5703125" style="241" customWidth="1"/>
    <col min="14858" max="14858" width="9.140625" style="241"/>
    <col min="14859" max="14862" width="9.7109375" style="241" bestFit="1" customWidth="1"/>
    <col min="14863" max="15104" width="9.140625" style="241"/>
    <col min="15105" max="15105" width="3.7109375" style="241" customWidth="1"/>
    <col min="15106" max="15106" width="4.42578125" style="241" customWidth="1"/>
    <col min="15107" max="15107" width="4.28515625" style="241" customWidth="1"/>
    <col min="15108" max="15108" width="58.7109375" style="241" customWidth="1"/>
    <col min="15109" max="15109" width="11.28515625" style="241" customWidth="1"/>
    <col min="15110" max="15110" width="10" style="241" customWidth="1"/>
    <col min="15111" max="15111" width="10.42578125" style="241" customWidth="1"/>
    <col min="15112" max="15112" width="9.7109375" style="241" bestFit="1" customWidth="1"/>
    <col min="15113" max="15113" width="9.5703125" style="241" customWidth="1"/>
    <col min="15114" max="15114" width="9.140625" style="241"/>
    <col min="15115" max="15118" width="9.7109375" style="241" bestFit="1" customWidth="1"/>
    <col min="15119" max="15360" width="9.140625" style="241"/>
    <col min="15361" max="15361" width="3.7109375" style="241" customWidth="1"/>
    <col min="15362" max="15362" width="4.42578125" style="241" customWidth="1"/>
    <col min="15363" max="15363" width="4.28515625" style="241" customWidth="1"/>
    <col min="15364" max="15364" width="58.7109375" style="241" customWidth="1"/>
    <col min="15365" max="15365" width="11.28515625" style="241" customWidth="1"/>
    <col min="15366" max="15366" width="10" style="241" customWidth="1"/>
    <col min="15367" max="15367" width="10.42578125" style="241" customWidth="1"/>
    <col min="15368" max="15368" width="9.7109375" style="241" bestFit="1" customWidth="1"/>
    <col min="15369" max="15369" width="9.5703125" style="241" customWidth="1"/>
    <col min="15370" max="15370" width="9.140625" style="241"/>
    <col min="15371" max="15374" width="9.7109375" style="241" bestFit="1" customWidth="1"/>
    <col min="15375" max="15616" width="9.140625" style="241"/>
    <col min="15617" max="15617" width="3.7109375" style="241" customWidth="1"/>
    <col min="15618" max="15618" width="4.42578125" style="241" customWidth="1"/>
    <col min="15619" max="15619" width="4.28515625" style="241" customWidth="1"/>
    <col min="15620" max="15620" width="58.7109375" style="241" customWidth="1"/>
    <col min="15621" max="15621" width="11.28515625" style="241" customWidth="1"/>
    <col min="15622" max="15622" width="10" style="241" customWidth="1"/>
    <col min="15623" max="15623" width="10.42578125" style="241" customWidth="1"/>
    <col min="15624" max="15624" width="9.7109375" style="241" bestFit="1" customWidth="1"/>
    <col min="15625" max="15625" width="9.5703125" style="241" customWidth="1"/>
    <col min="15626" max="15626" width="9.140625" style="241"/>
    <col min="15627" max="15630" width="9.7109375" style="241" bestFit="1" customWidth="1"/>
    <col min="15631" max="15872" width="9.140625" style="241"/>
    <col min="15873" max="15873" width="3.7109375" style="241" customWidth="1"/>
    <col min="15874" max="15874" width="4.42578125" style="241" customWidth="1"/>
    <col min="15875" max="15875" width="4.28515625" style="241" customWidth="1"/>
    <col min="15876" max="15876" width="58.7109375" style="241" customWidth="1"/>
    <col min="15877" max="15877" width="11.28515625" style="241" customWidth="1"/>
    <col min="15878" max="15878" width="10" style="241" customWidth="1"/>
    <col min="15879" max="15879" width="10.42578125" style="241" customWidth="1"/>
    <col min="15880" max="15880" width="9.7109375" style="241" bestFit="1" customWidth="1"/>
    <col min="15881" max="15881" width="9.5703125" style="241" customWidth="1"/>
    <col min="15882" max="15882" width="9.140625" style="241"/>
    <col min="15883" max="15886" width="9.7109375" style="241" bestFit="1" customWidth="1"/>
    <col min="15887" max="16128" width="9.140625" style="241"/>
    <col min="16129" max="16129" width="3.7109375" style="241" customWidth="1"/>
    <col min="16130" max="16130" width="4.42578125" style="241" customWidth="1"/>
    <col min="16131" max="16131" width="4.28515625" style="241" customWidth="1"/>
    <col min="16132" max="16132" width="58.7109375" style="241" customWidth="1"/>
    <col min="16133" max="16133" width="11.28515625" style="241" customWidth="1"/>
    <col min="16134" max="16134" width="10" style="241" customWidth="1"/>
    <col min="16135" max="16135" width="10.42578125" style="241" customWidth="1"/>
    <col min="16136" max="16136" width="9.7109375" style="241" bestFit="1" customWidth="1"/>
    <col min="16137" max="16137" width="9.5703125" style="241" customWidth="1"/>
    <col min="16138" max="16138" width="9.140625" style="241"/>
    <col min="16139" max="16142" width="9.7109375" style="241" bestFit="1" customWidth="1"/>
    <col min="16143" max="16384" width="9.140625" style="241"/>
  </cols>
  <sheetData>
    <row r="1" spans="1:17">
      <c r="A1" s="391" t="s">
        <v>412</v>
      </c>
      <c r="B1" s="391"/>
      <c r="C1" s="391"/>
      <c r="D1" s="391"/>
      <c r="E1" s="391"/>
      <c r="F1" s="391"/>
      <c r="G1" s="292"/>
      <c r="H1" s="292"/>
      <c r="I1" s="292"/>
      <c r="J1" s="298"/>
      <c r="K1" s="298"/>
    </row>
    <row r="2" spans="1:17">
      <c r="A2" s="391" t="s">
        <v>230</v>
      </c>
      <c r="B2" s="391"/>
      <c r="C2" s="391"/>
      <c r="D2" s="391"/>
      <c r="E2" s="391"/>
      <c r="F2" s="391"/>
      <c r="G2" s="292"/>
      <c r="H2" s="292"/>
      <c r="I2" s="292"/>
      <c r="J2" s="298"/>
      <c r="K2" s="298"/>
    </row>
    <row r="3" spans="1:17">
      <c r="A3" s="391" t="s">
        <v>249</v>
      </c>
      <c r="B3" s="391"/>
      <c r="C3" s="391"/>
      <c r="D3" s="391"/>
      <c r="E3" s="391"/>
      <c r="F3" s="391"/>
      <c r="G3" s="292"/>
      <c r="H3" s="292"/>
      <c r="I3" s="292"/>
      <c r="J3" s="298"/>
      <c r="K3" s="298"/>
    </row>
    <row r="4" spans="1:17">
      <c r="A4" s="240"/>
      <c r="B4" s="240"/>
      <c r="C4" s="240"/>
      <c r="D4" s="240"/>
      <c r="E4" s="240"/>
      <c r="F4" s="240"/>
      <c r="G4" s="292"/>
      <c r="H4" s="292"/>
      <c r="I4" s="292"/>
      <c r="J4" s="298"/>
      <c r="K4" s="298"/>
    </row>
    <row r="5" spans="1:17">
      <c r="A5" s="242"/>
      <c r="B5" s="242"/>
      <c r="C5" s="242"/>
      <c r="D5" s="242"/>
      <c r="E5" s="243" t="s">
        <v>159</v>
      </c>
      <c r="F5" s="243" t="s">
        <v>160</v>
      </c>
      <c r="G5" s="242"/>
      <c r="H5" s="242"/>
      <c r="I5" s="242"/>
      <c r="J5" s="242"/>
      <c r="K5" s="242"/>
    </row>
    <row r="6" spans="1:17">
      <c r="A6" s="242"/>
      <c r="B6" s="242"/>
      <c r="C6" s="242"/>
      <c r="D6" s="242"/>
      <c r="E6" s="240">
        <f>+'Income Statement Cash Flows'!E6</f>
        <v>2022</v>
      </c>
      <c r="F6" s="240">
        <f>+'Income Statement Cash Flows'!F6</f>
        <v>2023</v>
      </c>
      <c r="G6" s="243"/>
      <c r="H6" s="242"/>
      <c r="I6" s="243"/>
    </row>
    <row r="7" spans="1:17">
      <c r="A7" s="241">
        <v>1</v>
      </c>
      <c r="B7" s="241" t="s">
        <v>413</v>
      </c>
      <c r="E7" s="269">
        <f>+'Modeling results'!B2</f>
        <v>2879680.996992487</v>
      </c>
      <c r="F7" s="269">
        <f>+'Modeling results'!C2</f>
        <v>2847294.6248635198</v>
      </c>
      <c r="G7" s="269"/>
      <c r="I7" s="240"/>
    </row>
    <row r="8" spans="1:17">
      <c r="A8" s="241">
        <v>2</v>
      </c>
      <c r="E8" s="244"/>
      <c r="F8" s="244"/>
      <c r="G8" s="240"/>
      <c r="I8" s="240"/>
    </row>
    <row r="9" spans="1:17">
      <c r="A9" s="241">
        <v>3</v>
      </c>
      <c r="B9" s="241" t="s">
        <v>167</v>
      </c>
      <c r="I9" s="242"/>
      <c r="J9" s="242"/>
      <c r="P9" s="253"/>
      <c r="Q9" s="253"/>
    </row>
    <row r="10" spans="1:17">
      <c r="A10" s="241">
        <v>4</v>
      </c>
      <c r="C10" s="241" t="s">
        <v>168</v>
      </c>
      <c r="E10" s="245"/>
      <c r="F10" s="245"/>
      <c r="G10" s="245"/>
      <c r="P10" s="253"/>
      <c r="Q10" s="253"/>
    </row>
    <row r="11" spans="1:17">
      <c r="A11" s="241">
        <v>5</v>
      </c>
      <c r="D11" s="241" t="s">
        <v>396</v>
      </c>
      <c r="E11" s="245">
        <f>+'Income Statement Cash Flows'!E9</f>
        <v>706770.61991000001</v>
      </c>
      <c r="F11" s="245">
        <f>+'Income Statement Cash Flows'!F9</f>
        <v>731009.85782000003</v>
      </c>
      <c r="G11" s="245"/>
      <c r="P11" s="253"/>
      <c r="Q11" s="253"/>
    </row>
    <row r="12" spans="1:17">
      <c r="A12" s="241">
        <v>6</v>
      </c>
      <c r="D12" s="241" t="s">
        <v>397</v>
      </c>
      <c r="E12" s="245">
        <f>+'Income Statement Cash Flows'!E10</f>
        <v>27749.250039999999</v>
      </c>
      <c r="F12" s="245">
        <f>+'Income Statement Cash Flows'!F10</f>
        <v>27499.999960000001</v>
      </c>
      <c r="G12" s="245"/>
      <c r="P12" s="253"/>
      <c r="Q12" s="253"/>
    </row>
    <row r="13" spans="1:17">
      <c r="A13" s="241">
        <v>7</v>
      </c>
      <c r="D13" s="241" t="s">
        <v>171</v>
      </c>
      <c r="E13" s="245">
        <f>+'Income Statement Cash Flows'!E11</f>
        <v>2340.9999300000009</v>
      </c>
      <c r="F13" s="245">
        <f>+'Income Statement Cash Flows'!F11</f>
        <v>2374.9999500000004</v>
      </c>
      <c r="G13" s="245"/>
      <c r="P13" s="253"/>
      <c r="Q13" s="253"/>
    </row>
    <row r="14" spans="1:17">
      <c r="A14" s="241">
        <v>8</v>
      </c>
      <c r="D14" s="241" t="s">
        <v>172</v>
      </c>
      <c r="E14" s="245">
        <f>+'Income Statement Cash Flows'!E12</f>
        <v>90689.999979999993</v>
      </c>
      <c r="F14" s="245">
        <f>+'Income Statement Cash Flows'!F12</f>
        <v>88228.999979999993</v>
      </c>
      <c r="G14" s="245"/>
      <c r="P14" s="253"/>
      <c r="Q14" s="253"/>
    </row>
    <row r="15" spans="1:17">
      <c r="A15" s="241">
        <v>9</v>
      </c>
      <c r="D15" s="241" t="s">
        <v>132</v>
      </c>
      <c r="E15" s="245">
        <f>+'Income Statement Cash Flows'!E13</f>
        <v>0</v>
      </c>
      <c r="F15" s="245">
        <f>+'Income Statement Cash Flows'!F13</f>
        <v>0</v>
      </c>
      <c r="G15" s="245"/>
      <c r="P15" s="253"/>
      <c r="Q15" s="253"/>
    </row>
    <row r="16" spans="1:17">
      <c r="A16" s="241">
        <v>10</v>
      </c>
      <c r="D16" s="241" t="s">
        <v>173</v>
      </c>
      <c r="E16" s="245">
        <f>+'Income Statement Cash Flows'!E14</f>
        <v>265288</v>
      </c>
      <c r="F16" s="245">
        <f>+'Income Statement Cash Flows'!F14</f>
        <v>265315</v>
      </c>
      <c r="G16" s="245"/>
      <c r="P16" s="253"/>
      <c r="Q16" s="253"/>
    </row>
    <row r="17" spans="1:17">
      <c r="A17" s="241">
        <v>11</v>
      </c>
      <c r="D17" s="241" t="s">
        <v>174</v>
      </c>
      <c r="E17" s="245">
        <f>+'Income Statement Cash Flows'!E15</f>
        <v>34418.000019999992</v>
      </c>
      <c r="F17" s="245">
        <f>+'Income Statement Cash Flows'!F15</f>
        <v>29467.000039999995</v>
      </c>
      <c r="G17" s="245"/>
      <c r="P17" s="253"/>
      <c r="Q17" s="253"/>
    </row>
    <row r="18" spans="1:17">
      <c r="A18" s="241">
        <v>12</v>
      </c>
      <c r="D18" s="241" t="s">
        <v>175</v>
      </c>
      <c r="E18" s="245">
        <f>+'Income Statement Cash Flows'!E16</f>
        <v>121266.8</v>
      </c>
      <c r="F18" s="245">
        <f>+'Income Statement Cash Flows'!F16</f>
        <v>121266.79995999999</v>
      </c>
      <c r="G18" s="245"/>
      <c r="P18" s="253"/>
      <c r="Q18" s="253"/>
    </row>
    <row r="19" spans="1:17">
      <c r="A19" s="241">
        <v>13</v>
      </c>
      <c r="C19" s="241" t="s">
        <v>176</v>
      </c>
      <c r="E19" s="245">
        <f>+'Income Statement Cash Flows'!E17</f>
        <v>79506.815230000022</v>
      </c>
      <c r="F19" s="245">
        <f>+'Income Statement Cash Flows'!F17</f>
        <v>82055.73507000001</v>
      </c>
      <c r="G19" s="245"/>
      <c r="P19" s="253"/>
      <c r="Q19" s="253"/>
    </row>
    <row r="20" spans="1:17">
      <c r="A20" s="241">
        <v>14</v>
      </c>
      <c r="C20" s="241" t="s">
        <v>177</v>
      </c>
      <c r="E20" s="245">
        <f>+'Income Statement Cash Flows'!E18</f>
        <v>211227.83898999999</v>
      </c>
      <c r="F20" s="245">
        <f>+'Income Statement Cash Flows'!F18</f>
        <v>209388.10498</v>
      </c>
      <c r="G20" s="245"/>
      <c r="P20" s="253"/>
      <c r="Q20" s="253"/>
    </row>
    <row r="21" spans="1:17">
      <c r="A21" s="241">
        <v>15</v>
      </c>
      <c r="C21" s="241" t="s">
        <v>398</v>
      </c>
      <c r="E21" s="245">
        <f>+'Income Statement Cash Flows'!E19</f>
        <v>292449.73906999984</v>
      </c>
      <c r="F21" s="245">
        <f>+'Income Statement Cash Flows'!F19</f>
        <v>288626.59134999965</v>
      </c>
      <c r="G21" s="245"/>
      <c r="H21" s="302"/>
      <c r="P21" s="253"/>
      <c r="Q21" s="253"/>
    </row>
    <row r="22" spans="1:17">
      <c r="A22" s="241">
        <v>16</v>
      </c>
      <c r="C22" s="241" t="s">
        <v>399</v>
      </c>
      <c r="E22" s="245">
        <f>+'Income Statement Cash Flows'!E20</f>
        <v>85470.972189999971</v>
      </c>
      <c r="F22" s="245">
        <f>+'Income Statement Cash Flows'!F20</f>
        <v>86514.930899999978</v>
      </c>
      <c r="G22" s="245"/>
      <c r="H22" s="302"/>
      <c r="P22" s="253"/>
      <c r="Q22" s="253"/>
    </row>
    <row r="23" spans="1:17">
      <c r="A23" s="241">
        <v>17</v>
      </c>
      <c r="C23" s="241" t="s">
        <v>179</v>
      </c>
      <c r="E23" s="245">
        <f>+'Income Statement Cash Flows'!E21</f>
        <v>0</v>
      </c>
      <c r="F23" s="245">
        <f>+'Income Statement Cash Flows'!F21</f>
        <v>0</v>
      </c>
      <c r="G23" s="245"/>
      <c r="H23" s="302"/>
      <c r="P23" s="253"/>
      <c r="Q23" s="253"/>
    </row>
    <row r="24" spans="1:17">
      <c r="A24" s="241">
        <v>18</v>
      </c>
      <c r="C24" s="246" t="s">
        <v>190</v>
      </c>
      <c r="E24" s="245">
        <f>+'Income Statement Cash Flows'!E22</f>
        <v>140948.65333333332</v>
      </c>
      <c r="F24" s="245">
        <f>+'Income Statement Cash Flows'!F22</f>
        <v>144154.65333333332</v>
      </c>
      <c r="G24" s="245"/>
      <c r="H24" s="302"/>
      <c r="P24" s="253"/>
      <c r="Q24" s="253"/>
    </row>
    <row r="25" spans="1:17">
      <c r="A25" s="241">
        <v>19</v>
      </c>
      <c r="B25" s="246"/>
      <c r="C25" s="246" t="s">
        <v>191</v>
      </c>
      <c r="D25" s="246"/>
      <c r="E25" s="245">
        <f>+'Income Statement Cash Flows'!E23</f>
        <v>320900.43823960901</v>
      </c>
      <c r="F25" s="245">
        <f>+'Income Statement Cash Flows'!F23</f>
        <v>317319.55282454338</v>
      </c>
      <c r="G25" s="245"/>
      <c r="H25" s="302"/>
      <c r="P25" s="253"/>
      <c r="Q25" s="253"/>
    </row>
    <row r="26" spans="1:17">
      <c r="A26" s="241">
        <v>20</v>
      </c>
      <c r="B26" s="246"/>
      <c r="C26" s="246" t="s">
        <v>716</v>
      </c>
      <c r="D26" s="246"/>
      <c r="E26" s="258">
        <f>+'Income Statement Cash Flows'!E24</f>
        <v>36753.702599078257</v>
      </c>
      <c r="F26" s="258">
        <f>+'Income Statement Cash Flows'!F24</f>
        <v>38362.713615484623</v>
      </c>
      <c r="G26" s="245"/>
      <c r="H26" s="302"/>
      <c r="P26" s="253"/>
      <c r="Q26" s="253"/>
    </row>
    <row r="27" spans="1:17">
      <c r="A27" s="241">
        <v>21</v>
      </c>
      <c r="B27" s="241" t="s">
        <v>192</v>
      </c>
      <c r="E27" s="245">
        <f>SUM(E11:E26)</f>
        <v>2415781.8295320207</v>
      </c>
      <c r="F27" s="245">
        <f>SUM(F11:F26)</f>
        <v>2431584.9397833613</v>
      </c>
      <c r="G27" s="245"/>
      <c r="H27" s="302"/>
      <c r="P27" s="253"/>
      <c r="Q27" s="253"/>
    </row>
    <row r="28" spans="1:17">
      <c r="A28" s="241">
        <v>22</v>
      </c>
      <c r="E28" s="245"/>
      <c r="F28" s="245"/>
      <c r="G28" s="245"/>
      <c r="H28" s="302"/>
      <c r="P28" s="253"/>
      <c r="Q28" s="253"/>
    </row>
    <row r="29" spans="1:17">
      <c r="A29" s="241">
        <v>23</v>
      </c>
      <c r="B29" s="245" t="s">
        <v>698</v>
      </c>
      <c r="C29" s="247"/>
      <c r="D29" s="247"/>
      <c r="E29" s="247"/>
      <c r="F29" s="247"/>
      <c r="G29" s="245"/>
      <c r="H29" s="302"/>
      <c r="J29" s="245"/>
      <c r="P29" s="253"/>
      <c r="Q29" s="253"/>
    </row>
    <row r="30" spans="1:17">
      <c r="A30" s="241">
        <v>24</v>
      </c>
      <c r="B30" s="247"/>
      <c r="C30" s="247" t="s">
        <v>181</v>
      </c>
      <c r="D30" s="247"/>
      <c r="E30" s="247"/>
      <c r="F30" s="247"/>
      <c r="G30" s="245"/>
      <c r="H30" s="302"/>
      <c r="P30" s="253"/>
      <c r="Q30" s="253"/>
    </row>
    <row r="31" spans="1:17">
      <c r="A31" s="241">
        <v>25</v>
      </c>
      <c r="B31" s="247"/>
      <c r="C31" s="247"/>
      <c r="D31" s="247" t="s">
        <v>182</v>
      </c>
      <c r="E31" s="247">
        <f>+'Income Statement Cash Flows'!E29</f>
        <v>38411</v>
      </c>
      <c r="F31" s="247">
        <f>+'Income Statement Cash Flows'!F29</f>
        <v>38609</v>
      </c>
      <c r="G31" s="245"/>
      <c r="H31" s="302"/>
      <c r="P31" s="253"/>
      <c r="Q31" s="253"/>
    </row>
    <row r="32" spans="1:17">
      <c r="A32" s="241">
        <v>26</v>
      </c>
      <c r="B32" s="247"/>
      <c r="D32" s="247" t="s">
        <v>183</v>
      </c>
      <c r="E32" s="247">
        <f>+'Income Statement Cash Flows'!E30</f>
        <v>-45937</v>
      </c>
      <c r="F32" s="247">
        <f>+'Income Statement Cash Flows'!F30</f>
        <v>-45937</v>
      </c>
      <c r="G32" s="245"/>
      <c r="H32" s="302"/>
      <c r="P32" s="253"/>
      <c r="Q32" s="253"/>
    </row>
    <row r="33" spans="1:17">
      <c r="A33" s="241">
        <v>27</v>
      </c>
      <c r="B33" s="247"/>
      <c r="C33" s="247"/>
      <c r="D33" s="247" t="s">
        <v>184</v>
      </c>
      <c r="E33" s="247">
        <f>+'Income Statement Cash Flows'!E31</f>
        <v>43986</v>
      </c>
      <c r="F33" s="247">
        <f>+'Income Statement Cash Flows'!F31</f>
        <v>39113</v>
      </c>
      <c r="G33" s="245"/>
      <c r="H33" s="302"/>
      <c r="P33" s="253"/>
      <c r="Q33" s="253"/>
    </row>
    <row r="34" spans="1:17">
      <c r="A34" s="241">
        <v>28</v>
      </c>
      <c r="B34" s="246"/>
      <c r="D34" s="246" t="s">
        <v>686</v>
      </c>
      <c r="E34" s="247">
        <f>+'Income Statement Cash Flows'!E32</f>
        <v>767</v>
      </c>
      <c r="F34" s="247">
        <f>+'Income Statement Cash Flows'!F32</f>
        <v>1768</v>
      </c>
      <c r="G34" s="245"/>
      <c r="H34" s="245"/>
      <c r="P34" s="253"/>
      <c r="Q34" s="253"/>
    </row>
    <row r="35" spans="1:17">
      <c r="A35" s="241">
        <v>29</v>
      </c>
      <c r="B35" s="246"/>
      <c r="D35" s="246" t="s">
        <v>250</v>
      </c>
      <c r="E35" s="247">
        <f>+'Income Statement Cash Flows'!E33</f>
        <v>236318.49857060824</v>
      </c>
      <c r="F35" s="247">
        <f>+'Income Statement Cash Flows'!F33</f>
        <v>228327.15562309994</v>
      </c>
      <c r="G35" s="245"/>
      <c r="H35" s="245"/>
      <c r="P35" s="253"/>
      <c r="Q35" s="253"/>
    </row>
    <row r="36" spans="1:17">
      <c r="A36" s="241">
        <v>30</v>
      </c>
      <c r="B36" s="246"/>
      <c r="D36" s="247" t="s">
        <v>748</v>
      </c>
      <c r="E36" s="247">
        <f>+'Income Statement Cash Flows'!E34</f>
        <v>-7561.5887000000002</v>
      </c>
      <c r="F36" s="247">
        <f>+'Income Statement Cash Flows'!F34</f>
        <v>-7490.78532</v>
      </c>
      <c r="G36" s="245"/>
      <c r="H36" s="245"/>
      <c r="P36" s="253"/>
      <c r="Q36" s="253"/>
    </row>
    <row r="37" spans="1:17">
      <c r="A37" s="241">
        <v>31</v>
      </c>
      <c r="B37" s="246"/>
      <c r="D37" s="247" t="s">
        <v>747</v>
      </c>
      <c r="E37" s="247">
        <f>+'Income Statement Cash Flows'!E35</f>
        <v>168.60468</v>
      </c>
      <c r="F37" s="247">
        <f>+'Income Statement Cash Flows'!F35</f>
        <v>168.60468</v>
      </c>
      <c r="G37" s="245"/>
      <c r="H37" s="245"/>
      <c r="P37" s="253"/>
      <c r="Q37" s="253"/>
    </row>
    <row r="38" spans="1:17">
      <c r="A38" s="241">
        <v>32</v>
      </c>
      <c r="B38" s="246"/>
      <c r="C38" s="247" t="s">
        <v>185</v>
      </c>
      <c r="D38" s="247"/>
      <c r="E38" s="247">
        <f>+'Income Statement Cash Flows'!E36</f>
        <v>-11004.91178</v>
      </c>
      <c r="F38" s="247">
        <f>+'Income Statement Cash Flows'!F36</f>
        <v>-11469.00268</v>
      </c>
      <c r="G38" s="245"/>
      <c r="P38" s="253"/>
      <c r="Q38" s="253"/>
    </row>
    <row r="39" spans="1:17">
      <c r="A39" s="241">
        <v>33</v>
      </c>
      <c r="B39" s="247"/>
      <c r="C39" s="247" t="s">
        <v>186</v>
      </c>
      <c r="D39" s="247"/>
      <c r="E39" s="247">
        <f>-'interest credit calculations'!C115</f>
        <v>-1616.7591515590659</v>
      </c>
      <c r="F39" s="247">
        <f>-'interest credit calculations'!D115</f>
        <v>-1741.5187265388795</v>
      </c>
      <c r="G39" s="245"/>
      <c r="J39" s="303"/>
      <c r="P39" s="253"/>
      <c r="Q39" s="253"/>
    </row>
    <row r="40" spans="1:17">
      <c r="A40" s="241">
        <v>34</v>
      </c>
      <c r="C40" s="241" t="s">
        <v>699</v>
      </c>
      <c r="E40" s="247">
        <f>+'Income Statement Cash Flows'!E38</f>
        <v>-9857.4198361257986</v>
      </c>
      <c r="F40" s="247">
        <f>+'Income Statement Cash Flows'!F38</f>
        <v>-10198.165340933187</v>
      </c>
      <c r="G40" s="245"/>
      <c r="J40" s="303"/>
      <c r="P40" s="253"/>
      <c r="Q40" s="253"/>
    </row>
    <row r="41" spans="1:17">
      <c r="A41" s="241">
        <v>35</v>
      </c>
      <c r="C41" s="247" t="s">
        <v>740</v>
      </c>
      <c r="E41" s="247">
        <f>+'Income Statement Cash Flows'!E39</f>
        <v>-3398.7278184283846</v>
      </c>
      <c r="F41" s="247">
        <f>+'Income Statement Cash Flows'!F39</f>
        <v>-3516.2130473672032</v>
      </c>
      <c r="G41" s="245"/>
      <c r="J41" s="303"/>
      <c r="P41" s="253"/>
      <c r="Q41" s="253"/>
    </row>
    <row r="42" spans="1:17">
      <c r="A42" s="241">
        <v>36</v>
      </c>
      <c r="B42" s="241" t="s">
        <v>710</v>
      </c>
      <c r="C42" s="247"/>
      <c r="D42" s="247"/>
      <c r="E42" s="247">
        <f>SUM(E31:E41)</f>
        <v>240274.69596449492</v>
      </c>
      <c r="F42" s="247">
        <f>SUM(F31:F41)</f>
        <v>227633.07518826067</v>
      </c>
      <c r="G42" s="245"/>
      <c r="P42" s="247"/>
      <c r="Q42" s="247"/>
    </row>
    <row r="43" spans="1:17">
      <c r="A43" s="241">
        <v>37</v>
      </c>
      <c r="B43" s="247"/>
      <c r="C43" s="247"/>
      <c r="D43" s="247"/>
      <c r="E43" s="247"/>
      <c r="F43" s="247"/>
      <c r="G43" s="245"/>
      <c r="P43" s="253"/>
      <c r="Q43" s="253"/>
    </row>
    <row r="44" spans="1:17">
      <c r="A44" s="241">
        <v>38</v>
      </c>
      <c r="B44" s="247" t="s">
        <v>187</v>
      </c>
      <c r="C44" s="247"/>
      <c r="D44" s="247"/>
      <c r="E44" s="247">
        <f>E42+E27</f>
        <v>2656056.5254965154</v>
      </c>
      <c r="F44" s="247">
        <f>F42+F27</f>
        <v>2659218.0149716218</v>
      </c>
      <c r="G44" s="245"/>
      <c r="P44" s="253"/>
      <c r="Q44" s="253"/>
    </row>
    <row r="45" spans="1:17">
      <c r="A45" s="241">
        <v>39</v>
      </c>
      <c r="B45" s="247"/>
      <c r="C45" s="247"/>
      <c r="D45" s="247"/>
      <c r="E45" s="247"/>
      <c r="F45" s="247"/>
      <c r="G45" s="245"/>
    </row>
    <row r="46" spans="1:17">
      <c r="A46" s="241">
        <v>40</v>
      </c>
      <c r="B46" s="247" t="s">
        <v>400</v>
      </c>
      <c r="C46" s="247"/>
      <c r="D46" s="247"/>
      <c r="E46" s="247">
        <f>E7-E44</f>
        <v>223624.47149597155</v>
      </c>
      <c r="F46" s="247">
        <f>F7-F44</f>
        <v>188076.609891898</v>
      </c>
      <c r="G46" s="245"/>
      <c r="N46" s="240"/>
    </row>
    <row r="47" spans="1:17">
      <c r="B47" s="245"/>
      <c r="C47" s="245"/>
      <c r="D47" s="245"/>
      <c r="E47" s="245"/>
      <c r="F47" s="245"/>
      <c r="G47" s="245"/>
    </row>
    <row r="48" spans="1:17">
      <c r="B48" s="245"/>
      <c r="C48" s="245"/>
      <c r="D48" s="245"/>
      <c r="E48" s="245"/>
      <c r="F48" s="245"/>
      <c r="G48" s="254"/>
      <c r="M48" s="245"/>
      <c r="N48" s="245"/>
    </row>
    <row r="49" spans="1:15">
      <c r="F49" s="300"/>
      <c r="G49" s="245"/>
      <c r="J49" s="240"/>
      <c r="K49" s="240"/>
      <c r="L49" s="240"/>
    </row>
    <row r="50" spans="1:15">
      <c r="E50" s="245"/>
      <c r="F50" s="245"/>
      <c r="G50" s="245"/>
    </row>
    <row r="51" spans="1:15">
      <c r="A51" s="255"/>
      <c r="E51" s="245"/>
      <c r="F51" s="245"/>
      <c r="G51" s="245"/>
      <c r="I51" s="245"/>
    </row>
    <row r="54" spans="1:15">
      <c r="A54" s="391" t="s">
        <v>394</v>
      </c>
      <c r="B54" s="391"/>
      <c r="C54" s="391"/>
      <c r="D54" s="391"/>
      <c r="E54" s="391"/>
      <c r="F54" s="391"/>
      <c r="G54" s="292"/>
      <c r="H54" s="292"/>
      <c r="I54" s="292"/>
    </row>
    <row r="55" spans="1:15">
      <c r="A55" s="391" t="s">
        <v>233</v>
      </c>
      <c r="B55" s="391"/>
      <c r="C55" s="391"/>
      <c r="D55" s="391"/>
      <c r="E55" s="391"/>
      <c r="F55" s="391"/>
      <c r="G55" s="292"/>
      <c r="H55" s="292"/>
      <c r="I55" s="292"/>
    </row>
    <row r="56" spans="1:15">
      <c r="A56" s="391" t="s">
        <v>353</v>
      </c>
      <c r="B56" s="391"/>
      <c r="C56" s="391"/>
      <c r="D56" s="391"/>
      <c r="E56" s="391"/>
      <c r="F56" s="391"/>
      <c r="G56" s="292"/>
      <c r="H56" s="292"/>
      <c r="I56" s="292"/>
    </row>
    <row r="57" spans="1:15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</row>
    <row r="58" spans="1:15">
      <c r="A58" s="245"/>
      <c r="B58" s="245"/>
      <c r="C58" s="245"/>
      <c r="D58" s="245"/>
      <c r="E58" s="243" t="s">
        <v>159</v>
      </c>
      <c r="F58" s="243" t="s">
        <v>160</v>
      </c>
      <c r="G58" s="243"/>
      <c r="H58" s="245"/>
      <c r="I58" s="243"/>
      <c r="J58" s="245"/>
      <c r="K58" s="243"/>
    </row>
    <row r="59" spans="1:15">
      <c r="A59" s="245"/>
      <c r="B59" s="245"/>
      <c r="C59" s="245"/>
      <c r="D59" s="245"/>
      <c r="E59" s="240">
        <f>+'Income Statement Cash Flows'!E6</f>
        <v>2022</v>
      </c>
      <c r="F59" s="240">
        <f>+'Income Statement Cash Flows'!F6</f>
        <v>2023</v>
      </c>
      <c r="G59" s="240"/>
      <c r="H59" s="245"/>
      <c r="I59" s="240"/>
      <c r="J59" s="245"/>
      <c r="K59" s="243"/>
      <c r="N59" s="253"/>
      <c r="O59" s="253"/>
    </row>
    <row r="60" spans="1:15">
      <c r="A60" s="245">
        <v>1</v>
      </c>
      <c r="B60" s="245" t="s">
        <v>237</v>
      </c>
      <c r="C60" s="245"/>
      <c r="D60" s="245"/>
      <c r="E60" s="245"/>
      <c r="F60" s="245"/>
      <c r="G60" s="245"/>
      <c r="H60" s="245"/>
      <c r="I60" s="245"/>
      <c r="J60" s="245"/>
      <c r="K60" s="245"/>
      <c r="N60" s="253"/>
      <c r="O60" s="253"/>
    </row>
    <row r="61" spans="1:15">
      <c r="A61" s="245">
        <v>2</v>
      </c>
      <c r="B61" s="245"/>
      <c r="C61" s="245" t="s">
        <v>400</v>
      </c>
      <c r="D61" s="245"/>
      <c r="E61" s="245">
        <f>E46</f>
        <v>223624.47149597155</v>
      </c>
      <c r="F61" s="245">
        <f>F46</f>
        <v>188076.609891898</v>
      </c>
      <c r="G61" s="245"/>
      <c r="H61" s="245"/>
      <c r="I61" s="245"/>
      <c r="J61" s="245"/>
      <c r="K61" s="245"/>
      <c r="N61" s="253"/>
      <c r="O61" s="253"/>
    </row>
    <row r="62" spans="1:15">
      <c r="A62" s="245">
        <v>3</v>
      </c>
      <c r="B62" s="245"/>
      <c r="C62" s="245" t="s">
        <v>235</v>
      </c>
      <c r="D62" s="245"/>
      <c r="E62" s="245"/>
      <c r="F62" s="245"/>
      <c r="G62" s="245"/>
      <c r="H62" s="245"/>
      <c r="I62" s="245"/>
      <c r="J62" s="245"/>
      <c r="K62" s="245"/>
      <c r="N62" s="253"/>
      <c r="O62" s="253"/>
    </row>
    <row r="63" spans="1:15">
      <c r="A63" s="245">
        <v>4</v>
      </c>
      <c r="B63" s="245"/>
      <c r="C63" s="245"/>
      <c r="D63" s="245" t="s">
        <v>250</v>
      </c>
      <c r="E63" s="245">
        <f>+'Income Statement Cash Flows'!E63</f>
        <v>7853.9735706082802</v>
      </c>
      <c r="F63" s="245">
        <f>+'Income Statement Cash Flows'!F63</f>
        <v>6798.6066230999504</v>
      </c>
      <c r="G63" s="245"/>
      <c r="H63" s="245"/>
      <c r="I63" s="245"/>
      <c r="J63" s="245"/>
      <c r="K63" s="245"/>
      <c r="N63" s="253"/>
      <c r="O63" s="253"/>
    </row>
    <row r="64" spans="1:15">
      <c r="A64" s="245">
        <v>5</v>
      </c>
      <c r="B64" s="245"/>
      <c r="C64" s="245"/>
      <c r="D64" s="245" t="s">
        <v>236</v>
      </c>
      <c r="E64" s="245">
        <f>E24+E25</f>
        <v>461849.09157294233</v>
      </c>
      <c r="F64" s="245">
        <f>F24+F25</f>
        <v>461474.2061578767</v>
      </c>
      <c r="G64" s="245"/>
      <c r="H64" s="245"/>
      <c r="I64" s="245"/>
      <c r="J64" s="245"/>
      <c r="K64" s="245"/>
      <c r="N64" s="253"/>
      <c r="O64" s="253"/>
    </row>
    <row r="65" spans="1:15">
      <c r="A65" s="245">
        <v>6</v>
      </c>
      <c r="B65" s="245"/>
      <c r="C65" s="245"/>
      <c r="D65" s="246" t="s">
        <v>716</v>
      </c>
      <c r="E65" s="245">
        <f>+E26</f>
        <v>36753.702599078257</v>
      </c>
      <c r="F65" s="245">
        <f>+F26</f>
        <v>38362.713615484623</v>
      </c>
      <c r="G65" s="245"/>
      <c r="H65" s="245"/>
      <c r="I65" s="245"/>
      <c r="J65" s="245"/>
      <c r="K65" s="245"/>
      <c r="N65" s="253"/>
      <c r="O65" s="253"/>
    </row>
    <row r="66" spans="1:15">
      <c r="A66" s="245">
        <v>7</v>
      </c>
      <c r="B66" s="245"/>
      <c r="C66" s="245"/>
      <c r="D66" s="241" t="s">
        <v>701</v>
      </c>
      <c r="E66" s="245">
        <f>+'Income Statement Cash Flows'!E66</f>
        <v>64670.338436750957</v>
      </c>
      <c r="F66" s="245">
        <f>+'Income Statement Cash Flows'!F66</f>
        <v>59440.37435481172</v>
      </c>
      <c r="G66" s="245"/>
      <c r="H66" s="245"/>
      <c r="I66" s="245"/>
      <c r="J66" s="245"/>
      <c r="K66" s="245"/>
      <c r="N66" s="253"/>
      <c r="O66" s="253"/>
    </row>
    <row r="67" spans="1:15">
      <c r="A67" s="245">
        <v>8</v>
      </c>
      <c r="B67" s="245"/>
      <c r="C67" s="245"/>
      <c r="D67" s="245" t="s">
        <v>183</v>
      </c>
      <c r="E67" s="245">
        <f>E32</f>
        <v>-45937</v>
      </c>
      <c r="F67" s="245">
        <f>F32</f>
        <v>-45937</v>
      </c>
      <c r="G67" s="245"/>
      <c r="H67" s="245"/>
      <c r="I67" s="245"/>
      <c r="J67" s="245"/>
      <c r="K67" s="245"/>
      <c r="N67" s="253"/>
      <c r="O67" s="253"/>
    </row>
    <row r="68" spans="1:15">
      <c r="A68" s="245">
        <v>9</v>
      </c>
      <c r="B68" s="254"/>
      <c r="C68" s="298"/>
      <c r="D68" s="245" t="s">
        <v>402</v>
      </c>
      <c r="E68" s="245">
        <f>+'Income Statement Cash Flows'!E68</f>
        <v>-30600</v>
      </c>
      <c r="F68" s="245">
        <f>+'Income Statement Cash Flows'!F68</f>
        <v>-30600</v>
      </c>
      <c r="G68" s="245"/>
      <c r="H68" s="245"/>
      <c r="I68" s="245"/>
      <c r="J68" s="245"/>
      <c r="K68" s="245"/>
      <c r="N68" s="253"/>
      <c r="O68" s="253"/>
    </row>
    <row r="69" spans="1:15">
      <c r="A69" s="245">
        <v>10</v>
      </c>
      <c r="B69" s="254"/>
      <c r="C69" s="298"/>
      <c r="D69" s="247" t="s">
        <v>748</v>
      </c>
      <c r="E69" s="245">
        <f>+E36</f>
        <v>-7561.5887000000002</v>
      </c>
      <c r="F69" s="245">
        <f>+F36</f>
        <v>-7490.78532</v>
      </c>
      <c r="G69" s="245"/>
      <c r="H69" s="245"/>
      <c r="I69" s="245"/>
      <c r="J69" s="245"/>
      <c r="K69" s="245"/>
      <c r="N69" s="253"/>
      <c r="O69" s="253"/>
    </row>
    <row r="70" spans="1:15">
      <c r="A70" s="245">
        <v>11</v>
      </c>
      <c r="B70" s="254"/>
      <c r="C70" s="298"/>
      <c r="D70" s="247" t="s">
        <v>747</v>
      </c>
      <c r="E70" s="245">
        <f>+E37</f>
        <v>168.60468</v>
      </c>
      <c r="F70" s="245">
        <f>+F37</f>
        <v>168.60468</v>
      </c>
      <c r="G70" s="245"/>
      <c r="H70" s="245"/>
      <c r="I70" s="245"/>
      <c r="J70" s="245"/>
      <c r="K70" s="245"/>
      <c r="N70" s="253"/>
      <c r="O70" s="253"/>
    </row>
    <row r="71" spans="1:15">
      <c r="A71" s="245">
        <v>12</v>
      </c>
      <c r="C71" s="241" t="s">
        <v>700</v>
      </c>
      <c r="E71" s="245">
        <f>+'Income Statement Cash Flows'!E71</f>
        <v>-4472</v>
      </c>
      <c r="F71" s="245">
        <f>+'Income Statement Cash Flows'!F71</f>
        <v>-4650.88</v>
      </c>
      <c r="G71" s="245"/>
      <c r="H71" s="245"/>
      <c r="I71" s="245"/>
      <c r="J71" s="245"/>
      <c r="K71" s="245"/>
      <c r="N71" s="253"/>
      <c r="O71" s="253"/>
    </row>
    <row r="72" spans="1:15">
      <c r="A72" s="245">
        <v>13</v>
      </c>
      <c r="B72" s="254"/>
      <c r="C72" s="241" t="s">
        <v>666</v>
      </c>
      <c r="D72" s="245"/>
      <c r="E72" s="245">
        <f>+'Income Statement Cash Flows'!E72</f>
        <v>16510</v>
      </c>
      <c r="F72" s="245">
        <f>+'Income Statement Cash Flows'!F72</f>
        <v>16865</v>
      </c>
      <c r="G72" s="245"/>
      <c r="H72" s="245"/>
      <c r="I72" s="245"/>
      <c r="J72" s="245"/>
      <c r="K72" s="245"/>
      <c r="N72" s="253"/>
      <c r="O72" s="253"/>
    </row>
    <row r="73" spans="1:15">
      <c r="A73" s="245">
        <v>14</v>
      </c>
      <c r="B73" s="247"/>
      <c r="C73" s="246" t="s">
        <v>403</v>
      </c>
      <c r="D73" s="247"/>
      <c r="E73" s="251">
        <v>0</v>
      </c>
      <c r="F73" s="251">
        <f>E73*-1</f>
        <v>0</v>
      </c>
      <c r="G73" s="299"/>
      <c r="H73" s="245"/>
      <c r="I73" s="299"/>
      <c r="J73" s="245"/>
      <c r="K73" s="299"/>
      <c r="N73" s="253"/>
      <c r="O73" s="253"/>
    </row>
    <row r="74" spans="1:15">
      <c r="A74" s="245">
        <v>15</v>
      </c>
      <c r="B74" s="245" t="s">
        <v>237</v>
      </c>
      <c r="C74" s="245"/>
      <c r="D74" s="245"/>
      <c r="E74" s="299">
        <f>SUM(E61:E73)</f>
        <v>722859.59365535143</v>
      </c>
      <c r="F74" s="299">
        <f>SUM(F61:F73)</f>
        <v>682507.45000317099</v>
      </c>
      <c r="G74" s="245"/>
      <c r="H74" s="245"/>
      <c r="I74" s="245"/>
      <c r="J74" s="245"/>
      <c r="K74" s="245"/>
      <c r="N74" s="253"/>
      <c r="O74" s="253"/>
    </row>
    <row r="75" spans="1:15">
      <c r="A75" s="245">
        <v>16</v>
      </c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N75" s="253"/>
      <c r="O75" s="253"/>
    </row>
    <row r="76" spans="1:15">
      <c r="A76" s="245">
        <v>17</v>
      </c>
      <c r="B76" s="245" t="s">
        <v>404</v>
      </c>
      <c r="C76" s="245"/>
      <c r="D76" s="245"/>
      <c r="E76" s="245"/>
      <c r="F76" s="245"/>
      <c r="G76" s="245"/>
      <c r="H76" s="245"/>
      <c r="I76" s="245"/>
      <c r="J76" s="245"/>
      <c r="K76" s="245"/>
      <c r="N76" s="253"/>
      <c r="O76" s="253"/>
    </row>
    <row r="77" spans="1:15">
      <c r="A77" s="245">
        <v>18</v>
      </c>
      <c r="B77" s="245"/>
      <c r="C77" s="245" t="s">
        <v>238</v>
      </c>
      <c r="D77" s="245"/>
      <c r="E77" s="245"/>
      <c r="F77" s="245"/>
      <c r="G77" s="245"/>
      <c r="H77" s="245"/>
      <c r="I77" s="245"/>
      <c r="J77" s="245"/>
      <c r="K77" s="245"/>
      <c r="N77" s="253"/>
      <c r="O77" s="253"/>
    </row>
    <row r="78" spans="1:15">
      <c r="A78" s="245">
        <v>19</v>
      </c>
      <c r="B78" s="245"/>
      <c r="C78" s="245"/>
      <c r="D78" s="245" t="s">
        <v>405</v>
      </c>
      <c r="E78" s="245">
        <f>+'Income Statement Cash Flows'!E77</f>
        <v>-290258.26174324</v>
      </c>
      <c r="F78" s="245">
        <f>+'Income Statement Cash Flows'!F77</f>
        <v>-296350.0564</v>
      </c>
      <c r="G78" s="245"/>
      <c r="H78" s="245"/>
      <c r="I78" s="245"/>
      <c r="J78" s="245"/>
      <c r="K78" s="245"/>
      <c r="N78" s="253"/>
      <c r="O78" s="253"/>
    </row>
    <row r="79" spans="1:15">
      <c r="A79" s="245">
        <v>20</v>
      </c>
      <c r="B79" s="245"/>
      <c r="C79" s="245"/>
      <c r="D79" s="245" t="s">
        <v>226</v>
      </c>
      <c r="E79" s="245">
        <f>+'Income Statement Cash Flows'!E78</f>
        <v>-43000</v>
      </c>
      <c r="F79" s="245">
        <f>+'Income Statement Cash Flows'!F78</f>
        <v>-43000</v>
      </c>
      <c r="G79" s="245"/>
      <c r="H79" s="245"/>
      <c r="I79" s="245"/>
      <c r="J79" s="245"/>
      <c r="K79" s="245"/>
      <c r="N79" s="253"/>
      <c r="O79" s="253"/>
    </row>
    <row r="80" spans="1:15">
      <c r="A80" s="245">
        <v>21</v>
      </c>
      <c r="B80" s="245" t="s">
        <v>404</v>
      </c>
      <c r="C80" s="245"/>
      <c r="D80" s="245"/>
      <c r="E80" s="245">
        <f>SUM(E78:E79)</f>
        <v>-333258.26174324</v>
      </c>
      <c r="F80" s="245">
        <f>SUM(F78:F79)</f>
        <v>-339350.0564</v>
      </c>
      <c r="G80" s="245"/>
      <c r="H80" s="245"/>
      <c r="I80" s="245"/>
      <c r="J80" s="245"/>
      <c r="K80" s="245"/>
      <c r="N80" s="253"/>
      <c r="O80" s="253"/>
    </row>
    <row r="81" spans="1:15">
      <c r="A81" s="245">
        <v>22</v>
      </c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N81" s="253"/>
      <c r="O81" s="253"/>
    </row>
    <row r="82" spans="1:15">
      <c r="A82" s="245">
        <v>23</v>
      </c>
      <c r="B82" s="245" t="s">
        <v>406</v>
      </c>
      <c r="C82" s="245"/>
      <c r="D82" s="245"/>
      <c r="E82" s="245"/>
      <c r="F82" s="245"/>
      <c r="G82" s="245"/>
      <c r="H82" s="245"/>
      <c r="I82" s="245"/>
      <c r="J82" s="245"/>
      <c r="K82" s="245"/>
      <c r="N82" s="253"/>
      <c r="O82" s="253"/>
    </row>
    <row r="83" spans="1:15">
      <c r="A83" s="245">
        <v>24</v>
      </c>
      <c r="C83" s="245" t="s">
        <v>407</v>
      </c>
      <c r="D83" s="245"/>
      <c r="E83" s="245">
        <f>+'Revised Revenue Test'!E86</f>
        <v>274089.8</v>
      </c>
      <c r="F83" s="245">
        <f>+'Revised Revenue Test'!F86</f>
        <v>291139.8</v>
      </c>
      <c r="G83" s="245"/>
      <c r="H83" s="245"/>
      <c r="I83" s="245"/>
      <c r="J83" s="245"/>
      <c r="K83" s="245"/>
      <c r="N83" s="253"/>
      <c r="O83" s="253"/>
    </row>
    <row r="84" spans="1:15">
      <c r="A84" s="245">
        <v>25</v>
      </c>
      <c r="C84" s="245" t="s">
        <v>409</v>
      </c>
      <c r="D84" s="245"/>
      <c r="E84" s="245">
        <f>+'Revised Revenue Test'!E87</f>
        <v>-495001</v>
      </c>
      <c r="F84" s="245">
        <f>+'Revised Revenue Test'!F87</f>
        <v>-525000</v>
      </c>
      <c r="G84" s="245"/>
      <c r="H84" s="245"/>
      <c r="I84" s="245"/>
      <c r="J84" s="245"/>
      <c r="K84" s="245"/>
      <c r="N84" s="253"/>
      <c r="O84" s="253"/>
    </row>
    <row r="85" spans="1:15">
      <c r="A85" s="245">
        <v>26</v>
      </c>
      <c r="C85" s="245" t="s">
        <v>243</v>
      </c>
      <c r="D85" s="245"/>
      <c r="E85" s="245">
        <f>+'Revised Revenue Test'!E88</f>
        <v>19168.461743240001</v>
      </c>
      <c r="F85" s="245">
        <f>+'Revised Revenue Test'!F88</f>
        <v>8210.2563999999984</v>
      </c>
      <c r="G85" s="245"/>
      <c r="H85" s="245"/>
      <c r="I85" s="245"/>
      <c r="J85" s="245"/>
      <c r="K85" s="245"/>
      <c r="N85" s="253"/>
      <c r="O85" s="253"/>
    </row>
    <row r="86" spans="1:15">
      <c r="A86" s="245">
        <v>27</v>
      </c>
      <c r="C86" s="245" t="s">
        <v>244</v>
      </c>
      <c r="D86" s="245"/>
      <c r="E86" s="245">
        <f>+'Revised Revenue Test'!E89</f>
        <v>0</v>
      </c>
      <c r="F86" s="245">
        <f>+'Revised Revenue Test'!F89</f>
        <v>0</v>
      </c>
      <c r="G86" s="245"/>
      <c r="H86" s="245"/>
      <c r="I86" s="245"/>
      <c r="J86" s="245"/>
      <c r="K86" s="245"/>
      <c r="N86" s="253"/>
      <c r="O86" s="253"/>
    </row>
    <row r="87" spans="1:15">
      <c r="A87" s="245">
        <v>28</v>
      </c>
      <c r="C87" s="245" t="s">
        <v>563</v>
      </c>
      <c r="D87" s="245"/>
      <c r="E87" s="245">
        <f>+'Revised Revenue Test'!E90</f>
        <v>-16005.150000000007</v>
      </c>
      <c r="F87" s="245">
        <f>+'Revised Revenue Test'!F90</f>
        <v>-21111.400000000005</v>
      </c>
      <c r="G87" s="245"/>
      <c r="H87" s="245"/>
      <c r="I87" s="245"/>
      <c r="J87" s="245"/>
      <c r="K87" s="245"/>
      <c r="N87" s="253"/>
      <c r="O87" s="253"/>
    </row>
    <row r="88" spans="1:15">
      <c r="A88" s="245">
        <v>29</v>
      </c>
      <c r="C88" s="245" t="s">
        <v>408</v>
      </c>
      <c r="D88" s="245"/>
      <c r="E88" s="245">
        <f>+'Revised Revenue Test'!E91</f>
        <v>0</v>
      </c>
      <c r="F88" s="245">
        <f>+'Revised Revenue Test'!F91</f>
        <v>0</v>
      </c>
      <c r="G88" s="245"/>
      <c r="H88" s="245"/>
      <c r="I88" s="245"/>
      <c r="J88" s="245"/>
      <c r="K88" s="245"/>
      <c r="N88" s="253"/>
      <c r="O88" s="253"/>
    </row>
    <row r="89" spans="1:15">
      <c r="A89" s="245">
        <v>30</v>
      </c>
      <c r="C89" s="245" t="s">
        <v>245</v>
      </c>
      <c r="D89" s="245"/>
      <c r="E89" s="245">
        <f>+'Revised Revenue Test'!E92</f>
        <v>-16060</v>
      </c>
      <c r="F89" s="245">
        <f>+'Revised Revenue Test'!F92</f>
        <v>-12762</v>
      </c>
      <c r="G89" s="245"/>
      <c r="H89" s="245"/>
      <c r="I89" s="245"/>
      <c r="J89" s="245"/>
      <c r="K89" s="245"/>
    </row>
    <row r="90" spans="1:15">
      <c r="A90" s="245">
        <v>31</v>
      </c>
      <c r="B90" s="245" t="s">
        <v>410</v>
      </c>
      <c r="C90" s="245"/>
      <c r="D90" s="245"/>
      <c r="E90" s="245">
        <f>SUM(E83:E89)</f>
        <v>-233807.88825675999</v>
      </c>
      <c r="F90" s="245">
        <f>SUM(F83:F89)</f>
        <v>-259523.34359999999</v>
      </c>
      <c r="G90" s="245"/>
      <c r="H90" s="245"/>
      <c r="I90" s="245"/>
      <c r="J90" s="245"/>
      <c r="K90" s="245"/>
    </row>
    <row r="91" spans="1:15">
      <c r="A91" s="245">
        <v>32</v>
      </c>
      <c r="B91" s="245"/>
      <c r="C91" s="245"/>
      <c r="D91" s="245"/>
      <c r="E91" s="245"/>
      <c r="F91" s="245"/>
      <c r="G91" s="245"/>
      <c r="H91" s="245"/>
      <c r="I91" s="245"/>
      <c r="J91" s="245"/>
      <c r="K91" s="245"/>
    </row>
    <row r="92" spans="1:15">
      <c r="A92" s="245">
        <v>33</v>
      </c>
      <c r="B92" s="247" t="s">
        <v>247</v>
      </c>
      <c r="C92" s="247"/>
      <c r="D92" s="247"/>
      <c r="E92" s="247">
        <f>E74+E80+E90</f>
        <v>155793.44365535144</v>
      </c>
      <c r="F92" s="247">
        <f>F74+F80+F90</f>
        <v>83634.050003170996</v>
      </c>
      <c r="G92" s="245"/>
      <c r="H92" s="245"/>
      <c r="I92" s="245"/>
      <c r="J92" s="245"/>
      <c r="K92" s="245"/>
    </row>
    <row r="93" spans="1:15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</row>
    <row r="94" spans="1:15">
      <c r="A94" s="245"/>
      <c r="B94" s="245"/>
      <c r="C94" s="245"/>
      <c r="D94" s="300"/>
      <c r="E94" s="245"/>
      <c r="F94" s="245"/>
      <c r="G94" s="245"/>
      <c r="H94" s="245"/>
      <c r="I94" s="245"/>
      <c r="J94" s="245"/>
      <c r="K94" s="245"/>
    </row>
    <row r="95" spans="1:15">
      <c r="C95" s="245"/>
      <c r="D95" s="300"/>
      <c r="E95" s="245"/>
      <c r="F95" s="245"/>
      <c r="G95" s="245"/>
      <c r="H95" s="245"/>
      <c r="I95" s="245"/>
      <c r="J95" s="245"/>
      <c r="K95" s="245"/>
    </row>
    <row r="96" spans="1:15">
      <c r="A96" s="245"/>
      <c r="C96" s="245"/>
      <c r="D96" s="300"/>
      <c r="E96" s="245"/>
      <c r="F96" s="245"/>
      <c r="G96" s="245"/>
      <c r="H96" s="245"/>
      <c r="I96" s="245"/>
      <c r="J96" s="245"/>
      <c r="K96" s="245"/>
    </row>
    <row r="97" spans="1:11">
      <c r="A97" s="245"/>
      <c r="B97" s="245"/>
      <c r="C97" s="245" t="s">
        <v>411</v>
      </c>
      <c r="D97" s="245"/>
      <c r="E97" s="245">
        <f>E98+E64+E63+E65+E66+E69+E70+E71+E72+E67+E68+E80+E90+'interest credit calculations'!C119</f>
        <v>155609.68450379212</v>
      </c>
      <c r="F97" s="245">
        <f>F98+F64+F63+F65+F66+F69+F70+F71+F72+F67+F68+F80+F90+'interest credit calculations'!D119</f>
        <v>83546.531276632013</v>
      </c>
      <c r="G97" s="245"/>
      <c r="H97" s="245"/>
      <c r="I97" s="245"/>
      <c r="J97" s="245"/>
      <c r="K97" s="245"/>
    </row>
    <row r="98" spans="1:11">
      <c r="A98" s="245"/>
      <c r="B98" s="245"/>
      <c r="C98" s="245" t="s">
        <v>401</v>
      </c>
      <c r="D98" s="245"/>
      <c r="E98" s="245">
        <f>E7-E27-E31-E32-E33-E34-E38-E35-E36-E37-E40-E41</f>
        <v>222007.71234441226</v>
      </c>
      <c r="F98" s="245">
        <f>F7-F27-F31-F32-F33-F34-F38-F35-F36-F37-F40-F41</f>
        <v>186335.09116535896</v>
      </c>
      <c r="G98" s="245"/>
      <c r="H98" s="245"/>
      <c r="I98" s="245"/>
      <c r="J98" s="245"/>
      <c r="K98" s="245"/>
    </row>
    <row r="99" spans="1:11">
      <c r="E99" s="245"/>
      <c r="F99" s="245"/>
      <c r="G99" s="245"/>
    </row>
    <row r="100" spans="1:11">
      <c r="E100" s="245"/>
      <c r="F100" s="245"/>
      <c r="G100" s="245"/>
    </row>
    <row r="101" spans="1:11">
      <c r="B101" s="245"/>
      <c r="C101" s="245"/>
      <c r="D101" s="245"/>
      <c r="E101" s="245"/>
      <c r="F101" s="245"/>
      <c r="G101" s="245"/>
    </row>
    <row r="102" spans="1:11">
      <c r="E102" s="245"/>
      <c r="F102" s="245"/>
      <c r="G102" s="245"/>
    </row>
    <row r="103" spans="1:11">
      <c r="E103" s="245"/>
      <c r="F103" s="245"/>
      <c r="G103" s="245"/>
    </row>
    <row r="104" spans="1:11">
      <c r="E104" s="245"/>
      <c r="F104" s="245"/>
      <c r="G104" s="245"/>
    </row>
    <row r="105" spans="1:11">
      <c r="E105" s="245"/>
      <c r="F105" s="245"/>
      <c r="G105" s="245"/>
    </row>
    <row r="106" spans="1:11">
      <c r="E106" s="245"/>
      <c r="F106" s="245"/>
      <c r="G106" s="245"/>
    </row>
    <row r="107" spans="1:11">
      <c r="E107" s="245"/>
      <c r="F107" s="245"/>
      <c r="G107" s="245"/>
    </row>
    <row r="108" spans="1:11">
      <c r="E108" s="245"/>
      <c r="F108" s="245"/>
      <c r="G108" s="245"/>
    </row>
    <row r="109" spans="1:11">
      <c r="E109" s="245"/>
      <c r="F109" s="245"/>
      <c r="G109" s="245"/>
    </row>
    <row r="110" spans="1:11">
      <c r="E110" s="245"/>
      <c r="F110" s="245"/>
      <c r="G110" s="245"/>
    </row>
    <row r="111" spans="1:11">
      <c r="E111" s="245"/>
      <c r="F111" s="245"/>
      <c r="G111" s="245"/>
    </row>
    <row r="112" spans="1:11">
      <c r="E112" s="245"/>
      <c r="F112" s="245"/>
      <c r="G112" s="245"/>
    </row>
    <row r="113" spans="5:7">
      <c r="E113" s="245"/>
      <c r="F113" s="245"/>
      <c r="G113" s="245"/>
    </row>
    <row r="114" spans="5:7">
      <c r="E114" s="245"/>
      <c r="F114" s="245"/>
      <c r="G114" s="245"/>
    </row>
    <row r="115" spans="5:7">
      <c r="E115" s="245"/>
      <c r="F115" s="245"/>
      <c r="G115" s="245"/>
    </row>
    <row r="116" spans="5:7">
      <c r="E116" s="245"/>
      <c r="F116" s="245"/>
      <c r="G116" s="245"/>
    </row>
    <row r="117" spans="5:7">
      <c r="E117" s="245"/>
      <c r="F117" s="245"/>
      <c r="G117" s="245"/>
    </row>
    <row r="118" spans="5:7">
      <c r="E118" s="245"/>
      <c r="F118" s="245"/>
      <c r="G118" s="245"/>
    </row>
    <row r="119" spans="5:7">
      <c r="E119" s="245"/>
      <c r="F119" s="245"/>
      <c r="G119" s="245"/>
    </row>
    <row r="120" spans="5:7">
      <c r="E120" s="245"/>
      <c r="F120" s="245"/>
      <c r="G120" s="245"/>
    </row>
    <row r="121" spans="5:7">
      <c r="E121" s="245"/>
      <c r="F121" s="245"/>
      <c r="G121" s="245"/>
    </row>
    <row r="122" spans="5:7">
      <c r="E122" s="245"/>
      <c r="F122" s="245"/>
      <c r="G122" s="245"/>
    </row>
    <row r="123" spans="5:7">
      <c r="E123" s="245"/>
      <c r="F123" s="245"/>
      <c r="G123" s="245"/>
    </row>
    <row r="124" spans="5:7">
      <c r="E124" s="245"/>
      <c r="F124" s="245"/>
      <c r="G124" s="245"/>
    </row>
    <row r="125" spans="5:7">
      <c r="E125" s="245"/>
      <c r="F125" s="245"/>
      <c r="G125" s="245"/>
    </row>
    <row r="126" spans="5:7">
      <c r="E126" s="245"/>
      <c r="F126" s="245"/>
      <c r="G126" s="245"/>
    </row>
    <row r="127" spans="5:7">
      <c r="E127" s="245"/>
      <c r="F127" s="245"/>
      <c r="G127" s="245"/>
    </row>
    <row r="128" spans="5:7">
      <c r="E128" s="245"/>
      <c r="F128" s="245"/>
      <c r="G128" s="245"/>
    </row>
    <row r="129" spans="5:7">
      <c r="E129" s="245"/>
      <c r="F129" s="245"/>
      <c r="G129" s="245"/>
    </row>
    <row r="130" spans="5:7">
      <c r="E130" s="245"/>
      <c r="F130" s="245"/>
      <c r="G130" s="245"/>
    </row>
    <row r="131" spans="5:7">
      <c r="E131" s="245"/>
      <c r="F131" s="245"/>
      <c r="G131" s="245"/>
    </row>
    <row r="132" spans="5:7">
      <c r="E132" s="245"/>
      <c r="F132" s="245"/>
      <c r="G132" s="245"/>
    </row>
    <row r="133" spans="5:7">
      <c r="E133" s="245"/>
      <c r="F133" s="245"/>
      <c r="G133" s="245"/>
    </row>
    <row r="134" spans="5:7">
      <c r="E134" s="245"/>
      <c r="F134" s="245"/>
      <c r="G134" s="245"/>
    </row>
    <row r="135" spans="5:7">
      <c r="E135" s="245"/>
      <c r="F135" s="245"/>
      <c r="G135" s="245"/>
    </row>
    <row r="136" spans="5:7">
      <c r="E136" s="245"/>
      <c r="F136" s="245"/>
      <c r="G136" s="245"/>
    </row>
    <row r="137" spans="5:7">
      <c r="E137" s="245"/>
      <c r="F137" s="245"/>
      <c r="G137" s="245"/>
    </row>
    <row r="138" spans="5:7">
      <c r="E138" s="245"/>
      <c r="F138" s="245"/>
      <c r="G138" s="245"/>
    </row>
    <row r="139" spans="5:7">
      <c r="E139" s="245"/>
      <c r="F139" s="245"/>
      <c r="G139" s="245"/>
    </row>
    <row r="140" spans="5:7">
      <c r="E140" s="245"/>
      <c r="F140" s="245"/>
      <c r="G140" s="245"/>
    </row>
    <row r="141" spans="5:7">
      <c r="E141" s="245"/>
      <c r="F141" s="245"/>
      <c r="G141" s="245"/>
    </row>
    <row r="142" spans="5:7">
      <c r="E142" s="245"/>
      <c r="F142" s="245"/>
      <c r="G142" s="245"/>
    </row>
    <row r="143" spans="5:7">
      <c r="E143" s="245"/>
      <c r="F143" s="245"/>
      <c r="G143" s="245"/>
    </row>
    <row r="144" spans="5:7">
      <c r="E144" s="245"/>
      <c r="F144" s="245"/>
      <c r="G144" s="245"/>
    </row>
    <row r="145" spans="5:7">
      <c r="E145" s="245"/>
      <c r="F145" s="245"/>
      <c r="G145" s="245"/>
    </row>
    <row r="146" spans="5:7">
      <c r="E146" s="245"/>
      <c r="F146" s="245"/>
      <c r="G146" s="245"/>
    </row>
    <row r="147" spans="5:7">
      <c r="E147" s="245"/>
      <c r="F147" s="245"/>
      <c r="G147" s="245"/>
    </row>
    <row r="148" spans="5:7">
      <c r="E148" s="245"/>
      <c r="F148" s="245"/>
      <c r="G148" s="245"/>
    </row>
    <row r="149" spans="5:7">
      <c r="E149" s="245"/>
      <c r="F149" s="245"/>
      <c r="G149" s="245"/>
    </row>
    <row r="150" spans="5:7">
      <c r="E150" s="245"/>
      <c r="F150" s="245"/>
      <c r="G150" s="245"/>
    </row>
  </sheetData>
  <mergeCells count="6">
    <mergeCell ref="A56:F56"/>
    <mergeCell ref="A1:F1"/>
    <mergeCell ref="A2:F2"/>
    <mergeCell ref="A3:F3"/>
    <mergeCell ref="A54:F54"/>
    <mergeCell ref="A55:F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39997558519241921"/>
  </sheetPr>
  <dimension ref="A1:AK140"/>
  <sheetViews>
    <sheetView topLeftCell="A86" zoomScale="85" zoomScaleNormal="85" workbookViewId="0">
      <selection activeCell="I143" sqref="I143"/>
    </sheetView>
  </sheetViews>
  <sheetFormatPr defaultColWidth="11" defaultRowHeight="12.75"/>
  <cols>
    <col min="1" max="1" width="7.5703125" style="269" customWidth="1"/>
    <col min="2" max="2" width="15.5703125" style="245" customWidth="1"/>
    <col min="3" max="3" width="16.42578125" style="245" customWidth="1"/>
    <col min="4" max="4" width="16" style="245" customWidth="1"/>
    <col min="5" max="5" width="18.7109375" style="245" customWidth="1"/>
    <col min="6" max="6" width="19" style="245" customWidth="1"/>
    <col min="7" max="7" width="17.42578125" style="245" customWidth="1"/>
    <col min="8" max="8" width="16.28515625" style="245" customWidth="1"/>
    <col min="9" max="9" width="14.140625" style="245" customWidth="1"/>
    <col min="10" max="10" width="15.85546875" style="245" customWidth="1"/>
    <col min="11" max="11" width="19.140625" style="245" bestFit="1" customWidth="1"/>
    <col min="12" max="12" width="19.42578125" style="253" customWidth="1"/>
    <col min="13" max="13" width="15.5703125" style="253" customWidth="1"/>
    <col min="14" max="14" width="14.140625" style="253" customWidth="1"/>
    <col min="15" max="15" width="11" style="253" customWidth="1"/>
    <col min="16" max="17" width="25" style="253" customWidth="1"/>
    <col min="18" max="18" width="1.85546875" style="245" customWidth="1"/>
    <col min="19" max="19" width="17.85546875" style="245" customWidth="1"/>
    <col min="20" max="20" width="1.85546875" style="245" customWidth="1"/>
    <col min="21" max="21" width="19" style="245" customWidth="1"/>
    <col min="22" max="22" width="1.85546875" style="245" customWidth="1"/>
    <col min="23" max="23" width="16.7109375" style="245" customWidth="1"/>
    <col min="24" max="24" width="1.85546875" style="245" customWidth="1"/>
    <col min="25" max="25" width="16.7109375" style="245" customWidth="1"/>
    <col min="26" max="26" width="1.85546875" style="245" customWidth="1"/>
    <col min="27" max="27" width="16.7109375" style="245" customWidth="1"/>
    <col min="28" max="28" width="1.85546875" style="245" customWidth="1"/>
    <col min="29" max="29" width="16.7109375" style="245" customWidth="1"/>
    <col min="30" max="30" width="1.85546875" style="245" customWidth="1"/>
    <col min="31" max="31" width="17.85546875" style="245" customWidth="1"/>
    <col min="32" max="32" width="5.28515625" style="245" customWidth="1"/>
    <col min="33" max="33" width="16.7109375" style="245" customWidth="1"/>
    <col min="34" max="34" width="5.28515625" style="245" customWidth="1"/>
    <col min="35" max="35" width="14.42578125" style="245" customWidth="1"/>
    <col min="36" max="36" width="1.85546875" style="245" customWidth="1"/>
    <col min="37" max="37" width="16.7109375" style="245" customWidth="1"/>
    <col min="38" max="247" width="11" style="245"/>
    <col min="248" max="248" width="7.5703125" style="245" customWidth="1"/>
    <col min="249" max="249" width="15.5703125" style="245" customWidth="1"/>
    <col min="250" max="250" width="20.140625" style="245" customWidth="1"/>
    <col min="251" max="251" width="2.28515625" style="245" customWidth="1"/>
    <col min="252" max="252" width="17.42578125" style="245" customWidth="1"/>
    <col min="253" max="253" width="1.85546875" style="245" customWidth="1"/>
    <col min="254" max="254" width="18.7109375" style="245" customWidth="1"/>
    <col min="255" max="255" width="1.85546875" style="245" customWidth="1"/>
    <col min="256" max="256" width="23" style="245" customWidth="1"/>
    <col min="257" max="257" width="1.85546875" style="245" customWidth="1"/>
    <col min="258" max="258" width="17.42578125" style="245" customWidth="1"/>
    <col min="259" max="259" width="3" style="245" customWidth="1"/>
    <col min="260" max="260" width="16.28515625" style="245" customWidth="1"/>
    <col min="261" max="261" width="3" style="245" customWidth="1"/>
    <col min="262" max="262" width="14.140625" style="245" customWidth="1"/>
    <col min="263" max="263" width="2" style="245" customWidth="1"/>
    <col min="264" max="264" width="15.85546875" style="245" customWidth="1"/>
    <col min="265" max="265" width="3.140625" style="245" customWidth="1"/>
    <col min="266" max="266" width="17.85546875" style="245" customWidth="1"/>
    <col min="267" max="267" width="2.5703125" style="245" customWidth="1"/>
    <col min="268" max="268" width="15.5703125" style="245" customWidth="1"/>
    <col min="269" max="269" width="1.85546875" style="245" customWidth="1"/>
    <col min="270" max="270" width="14.140625" style="245" customWidth="1"/>
    <col min="271" max="271" width="11" style="245" customWidth="1"/>
    <col min="272" max="273" width="25" style="245" customWidth="1"/>
    <col min="274" max="274" width="1.85546875" style="245" customWidth="1"/>
    <col min="275" max="275" width="17.85546875" style="245" customWidth="1"/>
    <col min="276" max="276" width="1.85546875" style="245" customWidth="1"/>
    <col min="277" max="277" width="19" style="245" customWidth="1"/>
    <col min="278" max="278" width="1.85546875" style="245" customWidth="1"/>
    <col min="279" max="279" width="16.7109375" style="245" customWidth="1"/>
    <col min="280" max="280" width="1.85546875" style="245" customWidth="1"/>
    <col min="281" max="281" width="16.7109375" style="245" customWidth="1"/>
    <col min="282" max="282" width="1.85546875" style="245" customWidth="1"/>
    <col min="283" max="283" width="16.7109375" style="245" customWidth="1"/>
    <col min="284" max="284" width="1.85546875" style="245" customWidth="1"/>
    <col min="285" max="285" width="16.7109375" style="245" customWidth="1"/>
    <col min="286" max="286" width="1.85546875" style="245" customWidth="1"/>
    <col min="287" max="287" width="17.85546875" style="245" customWidth="1"/>
    <col min="288" max="288" width="5.28515625" style="245" customWidth="1"/>
    <col min="289" max="289" width="16.7109375" style="245" customWidth="1"/>
    <col min="290" max="290" width="5.28515625" style="245" customWidth="1"/>
    <col min="291" max="291" width="14.42578125" style="245" customWidth="1"/>
    <col min="292" max="292" width="1.85546875" style="245" customWidth="1"/>
    <col min="293" max="293" width="16.7109375" style="245" customWidth="1"/>
    <col min="294" max="503" width="11" style="245"/>
    <col min="504" max="504" width="7.5703125" style="245" customWidth="1"/>
    <col min="505" max="505" width="15.5703125" style="245" customWidth="1"/>
    <col min="506" max="506" width="20.140625" style="245" customWidth="1"/>
    <col min="507" max="507" width="2.28515625" style="245" customWidth="1"/>
    <col min="508" max="508" width="17.42578125" style="245" customWidth="1"/>
    <col min="509" max="509" width="1.85546875" style="245" customWidth="1"/>
    <col min="510" max="510" width="18.7109375" style="245" customWidth="1"/>
    <col min="511" max="511" width="1.85546875" style="245" customWidth="1"/>
    <col min="512" max="512" width="23" style="245" customWidth="1"/>
    <col min="513" max="513" width="1.85546875" style="245" customWidth="1"/>
    <col min="514" max="514" width="17.42578125" style="245" customWidth="1"/>
    <col min="515" max="515" width="3" style="245" customWidth="1"/>
    <col min="516" max="516" width="16.28515625" style="245" customWidth="1"/>
    <col min="517" max="517" width="3" style="245" customWidth="1"/>
    <col min="518" max="518" width="14.140625" style="245" customWidth="1"/>
    <col min="519" max="519" width="2" style="245" customWidth="1"/>
    <col min="520" max="520" width="15.85546875" style="245" customWidth="1"/>
    <col min="521" max="521" width="3.140625" style="245" customWidth="1"/>
    <col min="522" max="522" width="17.85546875" style="245" customWidth="1"/>
    <col min="523" max="523" width="2.5703125" style="245" customWidth="1"/>
    <col min="524" max="524" width="15.5703125" style="245" customWidth="1"/>
    <col min="525" max="525" width="1.85546875" style="245" customWidth="1"/>
    <col min="526" max="526" width="14.140625" style="245" customWidth="1"/>
    <col min="527" max="527" width="11" style="245" customWidth="1"/>
    <col min="528" max="529" width="25" style="245" customWidth="1"/>
    <col min="530" max="530" width="1.85546875" style="245" customWidth="1"/>
    <col min="531" max="531" width="17.85546875" style="245" customWidth="1"/>
    <col min="532" max="532" width="1.85546875" style="245" customWidth="1"/>
    <col min="533" max="533" width="19" style="245" customWidth="1"/>
    <col min="534" max="534" width="1.85546875" style="245" customWidth="1"/>
    <col min="535" max="535" width="16.7109375" style="245" customWidth="1"/>
    <col min="536" max="536" width="1.85546875" style="245" customWidth="1"/>
    <col min="537" max="537" width="16.7109375" style="245" customWidth="1"/>
    <col min="538" max="538" width="1.85546875" style="245" customWidth="1"/>
    <col min="539" max="539" width="16.7109375" style="245" customWidth="1"/>
    <col min="540" max="540" width="1.85546875" style="245" customWidth="1"/>
    <col min="541" max="541" width="16.7109375" style="245" customWidth="1"/>
    <col min="542" max="542" width="1.85546875" style="245" customWidth="1"/>
    <col min="543" max="543" width="17.85546875" style="245" customWidth="1"/>
    <col min="544" max="544" width="5.28515625" style="245" customWidth="1"/>
    <col min="545" max="545" width="16.7109375" style="245" customWidth="1"/>
    <col min="546" max="546" width="5.28515625" style="245" customWidth="1"/>
    <col min="547" max="547" width="14.42578125" style="245" customWidth="1"/>
    <col min="548" max="548" width="1.85546875" style="245" customWidth="1"/>
    <col min="549" max="549" width="16.7109375" style="245" customWidth="1"/>
    <col min="550" max="759" width="11" style="245"/>
    <col min="760" max="760" width="7.5703125" style="245" customWidth="1"/>
    <col min="761" max="761" width="15.5703125" style="245" customWidth="1"/>
    <col min="762" max="762" width="20.140625" style="245" customWidth="1"/>
    <col min="763" max="763" width="2.28515625" style="245" customWidth="1"/>
    <col min="764" max="764" width="17.42578125" style="245" customWidth="1"/>
    <col min="765" max="765" width="1.85546875" style="245" customWidth="1"/>
    <col min="766" max="766" width="18.7109375" style="245" customWidth="1"/>
    <col min="767" max="767" width="1.85546875" style="245" customWidth="1"/>
    <col min="768" max="768" width="23" style="245" customWidth="1"/>
    <col min="769" max="769" width="1.85546875" style="245" customWidth="1"/>
    <col min="770" max="770" width="17.42578125" style="245" customWidth="1"/>
    <col min="771" max="771" width="3" style="245" customWidth="1"/>
    <col min="772" max="772" width="16.28515625" style="245" customWidth="1"/>
    <col min="773" max="773" width="3" style="245" customWidth="1"/>
    <col min="774" max="774" width="14.140625" style="245" customWidth="1"/>
    <col min="775" max="775" width="2" style="245" customWidth="1"/>
    <col min="776" max="776" width="15.85546875" style="245" customWidth="1"/>
    <col min="777" max="777" width="3.140625" style="245" customWidth="1"/>
    <col min="778" max="778" width="17.85546875" style="245" customWidth="1"/>
    <col min="779" max="779" width="2.5703125" style="245" customWidth="1"/>
    <col min="780" max="780" width="15.5703125" style="245" customWidth="1"/>
    <col min="781" max="781" width="1.85546875" style="245" customWidth="1"/>
    <col min="782" max="782" width="14.140625" style="245" customWidth="1"/>
    <col min="783" max="783" width="11" style="245" customWidth="1"/>
    <col min="784" max="785" width="25" style="245" customWidth="1"/>
    <col min="786" max="786" width="1.85546875" style="245" customWidth="1"/>
    <col min="787" max="787" width="17.85546875" style="245" customWidth="1"/>
    <col min="788" max="788" width="1.85546875" style="245" customWidth="1"/>
    <col min="789" max="789" width="19" style="245" customWidth="1"/>
    <col min="790" max="790" width="1.85546875" style="245" customWidth="1"/>
    <col min="791" max="791" width="16.7109375" style="245" customWidth="1"/>
    <col min="792" max="792" width="1.85546875" style="245" customWidth="1"/>
    <col min="793" max="793" width="16.7109375" style="245" customWidth="1"/>
    <col min="794" max="794" width="1.85546875" style="245" customWidth="1"/>
    <col min="795" max="795" width="16.7109375" style="245" customWidth="1"/>
    <col min="796" max="796" width="1.85546875" style="245" customWidth="1"/>
    <col min="797" max="797" width="16.7109375" style="245" customWidth="1"/>
    <col min="798" max="798" width="1.85546875" style="245" customWidth="1"/>
    <col min="799" max="799" width="17.85546875" style="245" customWidth="1"/>
    <col min="800" max="800" width="5.28515625" style="245" customWidth="1"/>
    <col min="801" max="801" width="16.7109375" style="245" customWidth="1"/>
    <col min="802" max="802" width="5.28515625" style="245" customWidth="1"/>
    <col min="803" max="803" width="14.42578125" style="245" customWidth="1"/>
    <col min="804" max="804" width="1.85546875" style="245" customWidth="1"/>
    <col min="805" max="805" width="16.7109375" style="245" customWidth="1"/>
    <col min="806" max="1015" width="11" style="245"/>
    <col min="1016" max="1016" width="7.5703125" style="245" customWidth="1"/>
    <col min="1017" max="1017" width="15.5703125" style="245" customWidth="1"/>
    <col min="1018" max="1018" width="20.140625" style="245" customWidth="1"/>
    <col min="1019" max="1019" width="2.28515625" style="245" customWidth="1"/>
    <col min="1020" max="1020" width="17.42578125" style="245" customWidth="1"/>
    <col min="1021" max="1021" width="1.85546875" style="245" customWidth="1"/>
    <col min="1022" max="1022" width="18.7109375" style="245" customWidth="1"/>
    <col min="1023" max="1023" width="1.85546875" style="245" customWidth="1"/>
    <col min="1024" max="1024" width="23" style="245" customWidth="1"/>
    <col min="1025" max="1025" width="1.85546875" style="245" customWidth="1"/>
    <col min="1026" max="1026" width="17.42578125" style="245" customWidth="1"/>
    <col min="1027" max="1027" width="3" style="245" customWidth="1"/>
    <col min="1028" max="1028" width="16.28515625" style="245" customWidth="1"/>
    <col min="1029" max="1029" width="3" style="245" customWidth="1"/>
    <col min="1030" max="1030" width="14.140625" style="245" customWidth="1"/>
    <col min="1031" max="1031" width="2" style="245" customWidth="1"/>
    <col min="1032" max="1032" width="15.85546875" style="245" customWidth="1"/>
    <col min="1033" max="1033" width="3.140625" style="245" customWidth="1"/>
    <col min="1034" max="1034" width="17.85546875" style="245" customWidth="1"/>
    <col min="1035" max="1035" width="2.5703125" style="245" customWidth="1"/>
    <col min="1036" max="1036" width="15.5703125" style="245" customWidth="1"/>
    <col min="1037" max="1037" width="1.85546875" style="245" customWidth="1"/>
    <col min="1038" max="1038" width="14.140625" style="245" customWidth="1"/>
    <col min="1039" max="1039" width="11" style="245" customWidth="1"/>
    <col min="1040" max="1041" width="25" style="245" customWidth="1"/>
    <col min="1042" max="1042" width="1.85546875" style="245" customWidth="1"/>
    <col min="1043" max="1043" width="17.85546875" style="245" customWidth="1"/>
    <col min="1044" max="1044" width="1.85546875" style="245" customWidth="1"/>
    <col min="1045" max="1045" width="19" style="245" customWidth="1"/>
    <col min="1046" max="1046" width="1.85546875" style="245" customWidth="1"/>
    <col min="1047" max="1047" width="16.7109375" style="245" customWidth="1"/>
    <col min="1048" max="1048" width="1.85546875" style="245" customWidth="1"/>
    <col min="1049" max="1049" width="16.7109375" style="245" customWidth="1"/>
    <col min="1050" max="1050" width="1.85546875" style="245" customWidth="1"/>
    <col min="1051" max="1051" width="16.7109375" style="245" customWidth="1"/>
    <col min="1052" max="1052" width="1.85546875" style="245" customWidth="1"/>
    <col min="1053" max="1053" width="16.7109375" style="245" customWidth="1"/>
    <col min="1054" max="1054" width="1.85546875" style="245" customWidth="1"/>
    <col min="1055" max="1055" width="17.85546875" style="245" customWidth="1"/>
    <col min="1056" max="1056" width="5.28515625" style="245" customWidth="1"/>
    <col min="1057" max="1057" width="16.7109375" style="245" customWidth="1"/>
    <col min="1058" max="1058" width="5.28515625" style="245" customWidth="1"/>
    <col min="1059" max="1059" width="14.42578125" style="245" customWidth="1"/>
    <col min="1060" max="1060" width="1.85546875" style="245" customWidth="1"/>
    <col min="1061" max="1061" width="16.7109375" style="245" customWidth="1"/>
    <col min="1062" max="1271" width="11" style="245"/>
    <col min="1272" max="1272" width="7.5703125" style="245" customWidth="1"/>
    <col min="1273" max="1273" width="15.5703125" style="245" customWidth="1"/>
    <col min="1274" max="1274" width="20.140625" style="245" customWidth="1"/>
    <col min="1275" max="1275" width="2.28515625" style="245" customWidth="1"/>
    <col min="1276" max="1276" width="17.42578125" style="245" customWidth="1"/>
    <col min="1277" max="1277" width="1.85546875" style="245" customWidth="1"/>
    <col min="1278" max="1278" width="18.7109375" style="245" customWidth="1"/>
    <col min="1279" max="1279" width="1.85546875" style="245" customWidth="1"/>
    <col min="1280" max="1280" width="23" style="245" customWidth="1"/>
    <col min="1281" max="1281" width="1.85546875" style="245" customWidth="1"/>
    <col min="1282" max="1282" width="17.42578125" style="245" customWidth="1"/>
    <col min="1283" max="1283" width="3" style="245" customWidth="1"/>
    <col min="1284" max="1284" width="16.28515625" style="245" customWidth="1"/>
    <col min="1285" max="1285" width="3" style="245" customWidth="1"/>
    <col min="1286" max="1286" width="14.140625" style="245" customWidth="1"/>
    <col min="1287" max="1287" width="2" style="245" customWidth="1"/>
    <col min="1288" max="1288" width="15.85546875" style="245" customWidth="1"/>
    <col min="1289" max="1289" width="3.140625" style="245" customWidth="1"/>
    <col min="1290" max="1290" width="17.85546875" style="245" customWidth="1"/>
    <col min="1291" max="1291" width="2.5703125" style="245" customWidth="1"/>
    <col min="1292" max="1292" width="15.5703125" style="245" customWidth="1"/>
    <col min="1293" max="1293" width="1.85546875" style="245" customWidth="1"/>
    <col min="1294" max="1294" width="14.140625" style="245" customWidth="1"/>
    <col min="1295" max="1295" width="11" style="245" customWidth="1"/>
    <col min="1296" max="1297" width="25" style="245" customWidth="1"/>
    <col min="1298" max="1298" width="1.85546875" style="245" customWidth="1"/>
    <col min="1299" max="1299" width="17.85546875" style="245" customWidth="1"/>
    <col min="1300" max="1300" width="1.85546875" style="245" customWidth="1"/>
    <col min="1301" max="1301" width="19" style="245" customWidth="1"/>
    <col min="1302" max="1302" width="1.85546875" style="245" customWidth="1"/>
    <col min="1303" max="1303" width="16.7109375" style="245" customWidth="1"/>
    <col min="1304" max="1304" width="1.85546875" style="245" customWidth="1"/>
    <col min="1305" max="1305" width="16.7109375" style="245" customWidth="1"/>
    <col min="1306" max="1306" width="1.85546875" style="245" customWidth="1"/>
    <col min="1307" max="1307" width="16.7109375" style="245" customWidth="1"/>
    <col min="1308" max="1308" width="1.85546875" style="245" customWidth="1"/>
    <col min="1309" max="1309" width="16.7109375" style="245" customWidth="1"/>
    <col min="1310" max="1310" width="1.85546875" style="245" customWidth="1"/>
    <col min="1311" max="1311" width="17.85546875" style="245" customWidth="1"/>
    <col min="1312" max="1312" width="5.28515625" style="245" customWidth="1"/>
    <col min="1313" max="1313" width="16.7109375" style="245" customWidth="1"/>
    <col min="1314" max="1314" width="5.28515625" style="245" customWidth="1"/>
    <col min="1315" max="1315" width="14.42578125" style="245" customWidth="1"/>
    <col min="1316" max="1316" width="1.85546875" style="245" customWidth="1"/>
    <col min="1317" max="1317" width="16.7109375" style="245" customWidth="1"/>
    <col min="1318" max="1527" width="11" style="245"/>
    <col min="1528" max="1528" width="7.5703125" style="245" customWidth="1"/>
    <col min="1529" max="1529" width="15.5703125" style="245" customWidth="1"/>
    <col min="1530" max="1530" width="20.140625" style="245" customWidth="1"/>
    <col min="1531" max="1531" width="2.28515625" style="245" customWidth="1"/>
    <col min="1532" max="1532" width="17.42578125" style="245" customWidth="1"/>
    <col min="1533" max="1533" width="1.85546875" style="245" customWidth="1"/>
    <col min="1534" max="1534" width="18.7109375" style="245" customWidth="1"/>
    <col min="1535" max="1535" width="1.85546875" style="245" customWidth="1"/>
    <col min="1536" max="1536" width="23" style="245" customWidth="1"/>
    <col min="1537" max="1537" width="1.85546875" style="245" customWidth="1"/>
    <col min="1538" max="1538" width="17.42578125" style="245" customWidth="1"/>
    <col min="1539" max="1539" width="3" style="245" customWidth="1"/>
    <col min="1540" max="1540" width="16.28515625" style="245" customWidth="1"/>
    <col min="1541" max="1541" width="3" style="245" customWidth="1"/>
    <col min="1542" max="1542" width="14.140625" style="245" customWidth="1"/>
    <col min="1543" max="1543" width="2" style="245" customWidth="1"/>
    <col min="1544" max="1544" width="15.85546875" style="245" customWidth="1"/>
    <col min="1545" max="1545" width="3.140625" style="245" customWidth="1"/>
    <col min="1546" max="1546" width="17.85546875" style="245" customWidth="1"/>
    <col min="1547" max="1547" width="2.5703125" style="245" customWidth="1"/>
    <col min="1548" max="1548" width="15.5703125" style="245" customWidth="1"/>
    <col min="1549" max="1549" width="1.85546875" style="245" customWidth="1"/>
    <col min="1550" max="1550" width="14.140625" style="245" customWidth="1"/>
    <col min="1551" max="1551" width="11" style="245" customWidth="1"/>
    <col min="1552" max="1553" width="25" style="245" customWidth="1"/>
    <col min="1554" max="1554" width="1.85546875" style="245" customWidth="1"/>
    <col min="1555" max="1555" width="17.85546875" style="245" customWidth="1"/>
    <col min="1556" max="1556" width="1.85546875" style="245" customWidth="1"/>
    <col min="1557" max="1557" width="19" style="245" customWidth="1"/>
    <col min="1558" max="1558" width="1.85546875" style="245" customWidth="1"/>
    <col min="1559" max="1559" width="16.7109375" style="245" customWidth="1"/>
    <col min="1560" max="1560" width="1.85546875" style="245" customWidth="1"/>
    <col min="1561" max="1561" width="16.7109375" style="245" customWidth="1"/>
    <col min="1562" max="1562" width="1.85546875" style="245" customWidth="1"/>
    <col min="1563" max="1563" width="16.7109375" style="245" customWidth="1"/>
    <col min="1564" max="1564" width="1.85546875" style="245" customWidth="1"/>
    <col min="1565" max="1565" width="16.7109375" style="245" customWidth="1"/>
    <col min="1566" max="1566" width="1.85546875" style="245" customWidth="1"/>
    <col min="1567" max="1567" width="17.85546875" style="245" customWidth="1"/>
    <col min="1568" max="1568" width="5.28515625" style="245" customWidth="1"/>
    <col min="1569" max="1569" width="16.7109375" style="245" customWidth="1"/>
    <col min="1570" max="1570" width="5.28515625" style="245" customWidth="1"/>
    <col min="1571" max="1571" width="14.42578125" style="245" customWidth="1"/>
    <col min="1572" max="1572" width="1.85546875" style="245" customWidth="1"/>
    <col min="1573" max="1573" width="16.7109375" style="245" customWidth="1"/>
    <col min="1574" max="1783" width="11" style="245"/>
    <col min="1784" max="1784" width="7.5703125" style="245" customWidth="1"/>
    <col min="1785" max="1785" width="15.5703125" style="245" customWidth="1"/>
    <col min="1786" max="1786" width="20.140625" style="245" customWidth="1"/>
    <col min="1787" max="1787" width="2.28515625" style="245" customWidth="1"/>
    <col min="1788" max="1788" width="17.42578125" style="245" customWidth="1"/>
    <col min="1789" max="1789" width="1.85546875" style="245" customWidth="1"/>
    <col min="1790" max="1790" width="18.7109375" style="245" customWidth="1"/>
    <col min="1791" max="1791" width="1.85546875" style="245" customWidth="1"/>
    <col min="1792" max="1792" width="23" style="245" customWidth="1"/>
    <col min="1793" max="1793" width="1.85546875" style="245" customWidth="1"/>
    <col min="1794" max="1794" width="17.42578125" style="245" customWidth="1"/>
    <col min="1795" max="1795" width="3" style="245" customWidth="1"/>
    <col min="1796" max="1796" width="16.28515625" style="245" customWidth="1"/>
    <col min="1797" max="1797" width="3" style="245" customWidth="1"/>
    <col min="1798" max="1798" width="14.140625" style="245" customWidth="1"/>
    <col min="1799" max="1799" width="2" style="245" customWidth="1"/>
    <col min="1800" max="1800" width="15.85546875" style="245" customWidth="1"/>
    <col min="1801" max="1801" width="3.140625" style="245" customWidth="1"/>
    <col min="1802" max="1802" width="17.85546875" style="245" customWidth="1"/>
    <col min="1803" max="1803" width="2.5703125" style="245" customWidth="1"/>
    <col min="1804" max="1804" width="15.5703125" style="245" customWidth="1"/>
    <col min="1805" max="1805" width="1.85546875" style="245" customWidth="1"/>
    <col min="1806" max="1806" width="14.140625" style="245" customWidth="1"/>
    <col min="1807" max="1807" width="11" style="245" customWidth="1"/>
    <col min="1808" max="1809" width="25" style="245" customWidth="1"/>
    <col min="1810" max="1810" width="1.85546875" style="245" customWidth="1"/>
    <col min="1811" max="1811" width="17.85546875" style="245" customWidth="1"/>
    <col min="1812" max="1812" width="1.85546875" style="245" customWidth="1"/>
    <col min="1813" max="1813" width="19" style="245" customWidth="1"/>
    <col min="1814" max="1814" width="1.85546875" style="245" customWidth="1"/>
    <col min="1815" max="1815" width="16.7109375" style="245" customWidth="1"/>
    <col min="1816" max="1816" width="1.85546875" style="245" customWidth="1"/>
    <col min="1817" max="1817" width="16.7109375" style="245" customWidth="1"/>
    <col min="1818" max="1818" width="1.85546875" style="245" customWidth="1"/>
    <col min="1819" max="1819" width="16.7109375" style="245" customWidth="1"/>
    <col min="1820" max="1820" width="1.85546875" style="245" customWidth="1"/>
    <col min="1821" max="1821" width="16.7109375" style="245" customWidth="1"/>
    <col min="1822" max="1822" width="1.85546875" style="245" customWidth="1"/>
    <col min="1823" max="1823" width="17.85546875" style="245" customWidth="1"/>
    <col min="1824" max="1824" width="5.28515625" style="245" customWidth="1"/>
    <col min="1825" max="1825" width="16.7109375" style="245" customWidth="1"/>
    <col min="1826" max="1826" width="5.28515625" style="245" customWidth="1"/>
    <col min="1827" max="1827" width="14.42578125" style="245" customWidth="1"/>
    <col min="1828" max="1828" width="1.85546875" style="245" customWidth="1"/>
    <col min="1829" max="1829" width="16.7109375" style="245" customWidth="1"/>
    <col min="1830" max="2039" width="11" style="245"/>
    <col min="2040" max="2040" width="7.5703125" style="245" customWidth="1"/>
    <col min="2041" max="2041" width="15.5703125" style="245" customWidth="1"/>
    <col min="2042" max="2042" width="20.140625" style="245" customWidth="1"/>
    <col min="2043" max="2043" width="2.28515625" style="245" customWidth="1"/>
    <col min="2044" max="2044" width="17.42578125" style="245" customWidth="1"/>
    <col min="2045" max="2045" width="1.85546875" style="245" customWidth="1"/>
    <col min="2046" max="2046" width="18.7109375" style="245" customWidth="1"/>
    <col min="2047" max="2047" width="1.85546875" style="245" customWidth="1"/>
    <col min="2048" max="2048" width="23" style="245" customWidth="1"/>
    <col min="2049" max="2049" width="1.85546875" style="245" customWidth="1"/>
    <col min="2050" max="2050" width="17.42578125" style="245" customWidth="1"/>
    <col min="2051" max="2051" width="3" style="245" customWidth="1"/>
    <col min="2052" max="2052" width="16.28515625" style="245" customWidth="1"/>
    <col min="2053" max="2053" width="3" style="245" customWidth="1"/>
    <col min="2054" max="2054" width="14.140625" style="245" customWidth="1"/>
    <col min="2055" max="2055" width="2" style="245" customWidth="1"/>
    <col min="2056" max="2056" width="15.85546875" style="245" customWidth="1"/>
    <col min="2057" max="2057" width="3.140625" style="245" customWidth="1"/>
    <col min="2058" max="2058" width="17.85546875" style="245" customWidth="1"/>
    <col min="2059" max="2059" width="2.5703125" style="245" customWidth="1"/>
    <col min="2060" max="2060" width="15.5703125" style="245" customWidth="1"/>
    <col min="2061" max="2061" width="1.85546875" style="245" customWidth="1"/>
    <col min="2062" max="2062" width="14.140625" style="245" customWidth="1"/>
    <col min="2063" max="2063" width="11" style="245" customWidth="1"/>
    <col min="2064" max="2065" width="25" style="245" customWidth="1"/>
    <col min="2066" max="2066" width="1.85546875" style="245" customWidth="1"/>
    <col min="2067" max="2067" width="17.85546875" style="245" customWidth="1"/>
    <col min="2068" max="2068" width="1.85546875" style="245" customWidth="1"/>
    <col min="2069" max="2069" width="19" style="245" customWidth="1"/>
    <col min="2070" max="2070" width="1.85546875" style="245" customWidth="1"/>
    <col min="2071" max="2071" width="16.7109375" style="245" customWidth="1"/>
    <col min="2072" max="2072" width="1.85546875" style="245" customWidth="1"/>
    <col min="2073" max="2073" width="16.7109375" style="245" customWidth="1"/>
    <col min="2074" max="2074" width="1.85546875" style="245" customWidth="1"/>
    <col min="2075" max="2075" width="16.7109375" style="245" customWidth="1"/>
    <col min="2076" max="2076" width="1.85546875" style="245" customWidth="1"/>
    <col min="2077" max="2077" width="16.7109375" style="245" customWidth="1"/>
    <col min="2078" max="2078" width="1.85546875" style="245" customWidth="1"/>
    <col min="2079" max="2079" width="17.85546875" style="245" customWidth="1"/>
    <col min="2080" max="2080" width="5.28515625" style="245" customWidth="1"/>
    <col min="2081" max="2081" width="16.7109375" style="245" customWidth="1"/>
    <col min="2082" max="2082" width="5.28515625" style="245" customWidth="1"/>
    <col min="2083" max="2083" width="14.42578125" style="245" customWidth="1"/>
    <col min="2084" max="2084" width="1.85546875" style="245" customWidth="1"/>
    <col min="2085" max="2085" width="16.7109375" style="245" customWidth="1"/>
    <col min="2086" max="2295" width="11" style="245"/>
    <col min="2296" max="2296" width="7.5703125" style="245" customWidth="1"/>
    <col min="2297" max="2297" width="15.5703125" style="245" customWidth="1"/>
    <col min="2298" max="2298" width="20.140625" style="245" customWidth="1"/>
    <col min="2299" max="2299" width="2.28515625" style="245" customWidth="1"/>
    <col min="2300" max="2300" width="17.42578125" style="245" customWidth="1"/>
    <col min="2301" max="2301" width="1.85546875" style="245" customWidth="1"/>
    <col min="2302" max="2302" width="18.7109375" style="245" customWidth="1"/>
    <col min="2303" max="2303" width="1.85546875" style="245" customWidth="1"/>
    <col min="2304" max="2304" width="23" style="245" customWidth="1"/>
    <col min="2305" max="2305" width="1.85546875" style="245" customWidth="1"/>
    <col min="2306" max="2306" width="17.42578125" style="245" customWidth="1"/>
    <col min="2307" max="2307" width="3" style="245" customWidth="1"/>
    <col min="2308" max="2308" width="16.28515625" style="245" customWidth="1"/>
    <col min="2309" max="2309" width="3" style="245" customWidth="1"/>
    <col min="2310" max="2310" width="14.140625" style="245" customWidth="1"/>
    <col min="2311" max="2311" width="2" style="245" customWidth="1"/>
    <col min="2312" max="2312" width="15.85546875" style="245" customWidth="1"/>
    <col min="2313" max="2313" width="3.140625" style="245" customWidth="1"/>
    <col min="2314" max="2314" width="17.85546875" style="245" customWidth="1"/>
    <col min="2315" max="2315" width="2.5703125" style="245" customWidth="1"/>
    <col min="2316" max="2316" width="15.5703125" style="245" customWidth="1"/>
    <col min="2317" max="2317" width="1.85546875" style="245" customWidth="1"/>
    <col min="2318" max="2318" width="14.140625" style="245" customWidth="1"/>
    <col min="2319" max="2319" width="11" style="245" customWidth="1"/>
    <col min="2320" max="2321" width="25" style="245" customWidth="1"/>
    <col min="2322" max="2322" width="1.85546875" style="245" customWidth="1"/>
    <col min="2323" max="2323" width="17.85546875" style="245" customWidth="1"/>
    <col min="2324" max="2324" width="1.85546875" style="245" customWidth="1"/>
    <col min="2325" max="2325" width="19" style="245" customWidth="1"/>
    <col min="2326" max="2326" width="1.85546875" style="245" customWidth="1"/>
    <col min="2327" max="2327" width="16.7109375" style="245" customWidth="1"/>
    <col min="2328" max="2328" width="1.85546875" style="245" customWidth="1"/>
    <col min="2329" max="2329" width="16.7109375" style="245" customWidth="1"/>
    <col min="2330" max="2330" width="1.85546875" style="245" customWidth="1"/>
    <col min="2331" max="2331" width="16.7109375" style="245" customWidth="1"/>
    <col min="2332" max="2332" width="1.85546875" style="245" customWidth="1"/>
    <col min="2333" max="2333" width="16.7109375" style="245" customWidth="1"/>
    <col min="2334" max="2334" width="1.85546875" style="245" customWidth="1"/>
    <col min="2335" max="2335" width="17.85546875" style="245" customWidth="1"/>
    <col min="2336" max="2336" width="5.28515625" style="245" customWidth="1"/>
    <col min="2337" max="2337" width="16.7109375" style="245" customWidth="1"/>
    <col min="2338" max="2338" width="5.28515625" style="245" customWidth="1"/>
    <col min="2339" max="2339" width="14.42578125" style="245" customWidth="1"/>
    <col min="2340" max="2340" width="1.85546875" style="245" customWidth="1"/>
    <col min="2341" max="2341" width="16.7109375" style="245" customWidth="1"/>
    <col min="2342" max="2551" width="11" style="245"/>
    <col min="2552" max="2552" width="7.5703125" style="245" customWidth="1"/>
    <col min="2553" max="2553" width="15.5703125" style="245" customWidth="1"/>
    <col min="2554" max="2554" width="20.140625" style="245" customWidth="1"/>
    <col min="2555" max="2555" width="2.28515625" style="245" customWidth="1"/>
    <col min="2556" max="2556" width="17.42578125" style="245" customWidth="1"/>
    <col min="2557" max="2557" width="1.85546875" style="245" customWidth="1"/>
    <col min="2558" max="2558" width="18.7109375" style="245" customWidth="1"/>
    <col min="2559" max="2559" width="1.85546875" style="245" customWidth="1"/>
    <col min="2560" max="2560" width="23" style="245" customWidth="1"/>
    <col min="2561" max="2561" width="1.85546875" style="245" customWidth="1"/>
    <col min="2562" max="2562" width="17.42578125" style="245" customWidth="1"/>
    <col min="2563" max="2563" width="3" style="245" customWidth="1"/>
    <col min="2564" max="2564" width="16.28515625" style="245" customWidth="1"/>
    <col min="2565" max="2565" width="3" style="245" customWidth="1"/>
    <col min="2566" max="2566" width="14.140625" style="245" customWidth="1"/>
    <col min="2567" max="2567" width="2" style="245" customWidth="1"/>
    <col min="2568" max="2568" width="15.85546875" style="245" customWidth="1"/>
    <col min="2569" max="2569" width="3.140625" style="245" customWidth="1"/>
    <col min="2570" max="2570" width="17.85546875" style="245" customWidth="1"/>
    <col min="2571" max="2571" width="2.5703125" style="245" customWidth="1"/>
    <col min="2572" max="2572" width="15.5703125" style="245" customWidth="1"/>
    <col min="2573" max="2573" width="1.85546875" style="245" customWidth="1"/>
    <col min="2574" max="2574" width="14.140625" style="245" customWidth="1"/>
    <col min="2575" max="2575" width="11" style="245" customWidth="1"/>
    <col min="2576" max="2577" width="25" style="245" customWidth="1"/>
    <col min="2578" max="2578" width="1.85546875" style="245" customWidth="1"/>
    <col min="2579" max="2579" width="17.85546875" style="245" customWidth="1"/>
    <col min="2580" max="2580" width="1.85546875" style="245" customWidth="1"/>
    <col min="2581" max="2581" width="19" style="245" customWidth="1"/>
    <col min="2582" max="2582" width="1.85546875" style="245" customWidth="1"/>
    <col min="2583" max="2583" width="16.7109375" style="245" customWidth="1"/>
    <col min="2584" max="2584" width="1.85546875" style="245" customWidth="1"/>
    <col min="2585" max="2585" width="16.7109375" style="245" customWidth="1"/>
    <col min="2586" max="2586" width="1.85546875" style="245" customWidth="1"/>
    <col min="2587" max="2587" width="16.7109375" style="245" customWidth="1"/>
    <col min="2588" max="2588" width="1.85546875" style="245" customWidth="1"/>
    <col min="2589" max="2589" width="16.7109375" style="245" customWidth="1"/>
    <col min="2590" max="2590" width="1.85546875" style="245" customWidth="1"/>
    <col min="2591" max="2591" width="17.85546875" style="245" customWidth="1"/>
    <col min="2592" max="2592" width="5.28515625" style="245" customWidth="1"/>
    <col min="2593" max="2593" width="16.7109375" style="245" customWidth="1"/>
    <col min="2594" max="2594" width="5.28515625" style="245" customWidth="1"/>
    <col min="2595" max="2595" width="14.42578125" style="245" customWidth="1"/>
    <col min="2596" max="2596" width="1.85546875" style="245" customWidth="1"/>
    <col min="2597" max="2597" width="16.7109375" style="245" customWidth="1"/>
    <col min="2598" max="2807" width="11" style="245"/>
    <col min="2808" max="2808" width="7.5703125" style="245" customWidth="1"/>
    <col min="2809" max="2809" width="15.5703125" style="245" customWidth="1"/>
    <col min="2810" max="2810" width="20.140625" style="245" customWidth="1"/>
    <col min="2811" max="2811" width="2.28515625" style="245" customWidth="1"/>
    <col min="2812" max="2812" width="17.42578125" style="245" customWidth="1"/>
    <col min="2813" max="2813" width="1.85546875" style="245" customWidth="1"/>
    <col min="2814" max="2814" width="18.7109375" style="245" customWidth="1"/>
    <col min="2815" max="2815" width="1.85546875" style="245" customWidth="1"/>
    <col min="2816" max="2816" width="23" style="245" customWidth="1"/>
    <col min="2817" max="2817" width="1.85546875" style="245" customWidth="1"/>
    <col min="2818" max="2818" width="17.42578125" style="245" customWidth="1"/>
    <col min="2819" max="2819" width="3" style="245" customWidth="1"/>
    <col min="2820" max="2820" width="16.28515625" style="245" customWidth="1"/>
    <col min="2821" max="2821" width="3" style="245" customWidth="1"/>
    <col min="2822" max="2822" width="14.140625" style="245" customWidth="1"/>
    <col min="2823" max="2823" width="2" style="245" customWidth="1"/>
    <col min="2824" max="2824" width="15.85546875" style="245" customWidth="1"/>
    <col min="2825" max="2825" width="3.140625" style="245" customWidth="1"/>
    <col min="2826" max="2826" width="17.85546875" style="245" customWidth="1"/>
    <col min="2827" max="2827" width="2.5703125" style="245" customWidth="1"/>
    <col min="2828" max="2828" width="15.5703125" style="245" customWidth="1"/>
    <col min="2829" max="2829" width="1.85546875" style="245" customWidth="1"/>
    <col min="2830" max="2830" width="14.140625" style="245" customWidth="1"/>
    <col min="2831" max="2831" width="11" style="245" customWidth="1"/>
    <col min="2832" max="2833" width="25" style="245" customWidth="1"/>
    <col min="2834" max="2834" width="1.85546875" style="245" customWidth="1"/>
    <col min="2835" max="2835" width="17.85546875" style="245" customWidth="1"/>
    <col min="2836" max="2836" width="1.85546875" style="245" customWidth="1"/>
    <col min="2837" max="2837" width="19" style="245" customWidth="1"/>
    <col min="2838" max="2838" width="1.85546875" style="245" customWidth="1"/>
    <col min="2839" max="2839" width="16.7109375" style="245" customWidth="1"/>
    <col min="2840" max="2840" width="1.85546875" style="245" customWidth="1"/>
    <col min="2841" max="2841" width="16.7109375" style="245" customWidth="1"/>
    <col min="2842" max="2842" width="1.85546875" style="245" customWidth="1"/>
    <col min="2843" max="2843" width="16.7109375" style="245" customWidth="1"/>
    <col min="2844" max="2844" width="1.85546875" style="245" customWidth="1"/>
    <col min="2845" max="2845" width="16.7109375" style="245" customWidth="1"/>
    <col min="2846" max="2846" width="1.85546875" style="245" customWidth="1"/>
    <col min="2847" max="2847" width="17.85546875" style="245" customWidth="1"/>
    <col min="2848" max="2848" width="5.28515625" style="245" customWidth="1"/>
    <col min="2849" max="2849" width="16.7109375" style="245" customWidth="1"/>
    <col min="2850" max="2850" width="5.28515625" style="245" customWidth="1"/>
    <col min="2851" max="2851" width="14.42578125" style="245" customWidth="1"/>
    <col min="2852" max="2852" width="1.85546875" style="245" customWidth="1"/>
    <col min="2853" max="2853" width="16.7109375" style="245" customWidth="1"/>
    <col min="2854" max="3063" width="11" style="245"/>
    <col min="3064" max="3064" width="7.5703125" style="245" customWidth="1"/>
    <col min="3065" max="3065" width="15.5703125" style="245" customWidth="1"/>
    <col min="3066" max="3066" width="20.140625" style="245" customWidth="1"/>
    <col min="3067" max="3067" width="2.28515625" style="245" customWidth="1"/>
    <col min="3068" max="3068" width="17.42578125" style="245" customWidth="1"/>
    <col min="3069" max="3069" width="1.85546875" style="245" customWidth="1"/>
    <col min="3070" max="3070" width="18.7109375" style="245" customWidth="1"/>
    <col min="3071" max="3071" width="1.85546875" style="245" customWidth="1"/>
    <col min="3072" max="3072" width="23" style="245" customWidth="1"/>
    <col min="3073" max="3073" width="1.85546875" style="245" customWidth="1"/>
    <col min="3074" max="3074" width="17.42578125" style="245" customWidth="1"/>
    <col min="3075" max="3075" width="3" style="245" customWidth="1"/>
    <col min="3076" max="3076" width="16.28515625" style="245" customWidth="1"/>
    <col min="3077" max="3077" width="3" style="245" customWidth="1"/>
    <col min="3078" max="3078" width="14.140625" style="245" customWidth="1"/>
    <col min="3079" max="3079" width="2" style="245" customWidth="1"/>
    <col min="3080" max="3080" width="15.85546875" style="245" customWidth="1"/>
    <col min="3081" max="3081" width="3.140625" style="245" customWidth="1"/>
    <col min="3082" max="3082" width="17.85546875" style="245" customWidth="1"/>
    <col min="3083" max="3083" width="2.5703125" style="245" customWidth="1"/>
    <col min="3084" max="3084" width="15.5703125" style="245" customWidth="1"/>
    <col min="3085" max="3085" width="1.85546875" style="245" customWidth="1"/>
    <col min="3086" max="3086" width="14.140625" style="245" customWidth="1"/>
    <col min="3087" max="3087" width="11" style="245" customWidth="1"/>
    <col min="3088" max="3089" width="25" style="245" customWidth="1"/>
    <col min="3090" max="3090" width="1.85546875" style="245" customWidth="1"/>
    <col min="3091" max="3091" width="17.85546875" style="245" customWidth="1"/>
    <col min="3092" max="3092" width="1.85546875" style="245" customWidth="1"/>
    <col min="3093" max="3093" width="19" style="245" customWidth="1"/>
    <col min="3094" max="3094" width="1.85546875" style="245" customWidth="1"/>
    <col min="3095" max="3095" width="16.7109375" style="245" customWidth="1"/>
    <col min="3096" max="3096" width="1.85546875" style="245" customWidth="1"/>
    <col min="3097" max="3097" width="16.7109375" style="245" customWidth="1"/>
    <col min="3098" max="3098" width="1.85546875" style="245" customWidth="1"/>
    <col min="3099" max="3099" width="16.7109375" style="245" customWidth="1"/>
    <col min="3100" max="3100" width="1.85546875" style="245" customWidth="1"/>
    <col min="3101" max="3101" width="16.7109375" style="245" customWidth="1"/>
    <col min="3102" max="3102" width="1.85546875" style="245" customWidth="1"/>
    <col min="3103" max="3103" width="17.85546875" style="245" customWidth="1"/>
    <col min="3104" max="3104" width="5.28515625" style="245" customWidth="1"/>
    <col min="3105" max="3105" width="16.7109375" style="245" customWidth="1"/>
    <col min="3106" max="3106" width="5.28515625" style="245" customWidth="1"/>
    <col min="3107" max="3107" width="14.42578125" style="245" customWidth="1"/>
    <col min="3108" max="3108" width="1.85546875" style="245" customWidth="1"/>
    <col min="3109" max="3109" width="16.7109375" style="245" customWidth="1"/>
    <col min="3110" max="3319" width="11" style="245"/>
    <col min="3320" max="3320" width="7.5703125" style="245" customWidth="1"/>
    <col min="3321" max="3321" width="15.5703125" style="245" customWidth="1"/>
    <col min="3322" max="3322" width="20.140625" style="245" customWidth="1"/>
    <col min="3323" max="3323" width="2.28515625" style="245" customWidth="1"/>
    <col min="3324" max="3324" width="17.42578125" style="245" customWidth="1"/>
    <col min="3325" max="3325" width="1.85546875" style="245" customWidth="1"/>
    <col min="3326" max="3326" width="18.7109375" style="245" customWidth="1"/>
    <col min="3327" max="3327" width="1.85546875" style="245" customWidth="1"/>
    <col min="3328" max="3328" width="23" style="245" customWidth="1"/>
    <col min="3329" max="3329" width="1.85546875" style="245" customWidth="1"/>
    <col min="3330" max="3330" width="17.42578125" style="245" customWidth="1"/>
    <col min="3331" max="3331" width="3" style="245" customWidth="1"/>
    <col min="3332" max="3332" width="16.28515625" style="245" customWidth="1"/>
    <col min="3333" max="3333" width="3" style="245" customWidth="1"/>
    <col min="3334" max="3334" width="14.140625" style="245" customWidth="1"/>
    <col min="3335" max="3335" width="2" style="245" customWidth="1"/>
    <col min="3336" max="3336" width="15.85546875" style="245" customWidth="1"/>
    <col min="3337" max="3337" width="3.140625" style="245" customWidth="1"/>
    <col min="3338" max="3338" width="17.85546875" style="245" customWidth="1"/>
    <col min="3339" max="3339" width="2.5703125" style="245" customWidth="1"/>
    <col min="3340" max="3340" width="15.5703125" style="245" customWidth="1"/>
    <col min="3341" max="3341" width="1.85546875" style="245" customWidth="1"/>
    <col min="3342" max="3342" width="14.140625" style="245" customWidth="1"/>
    <col min="3343" max="3343" width="11" style="245" customWidth="1"/>
    <col min="3344" max="3345" width="25" style="245" customWidth="1"/>
    <col min="3346" max="3346" width="1.85546875" style="245" customWidth="1"/>
    <col min="3347" max="3347" width="17.85546875" style="245" customWidth="1"/>
    <col min="3348" max="3348" width="1.85546875" style="245" customWidth="1"/>
    <col min="3349" max="3349" width="19" style="245" customWidth="1"/>
    <col min="3350" max="3350" width="1.85546875" style="245" customWidth="1"/>
    <col min="3351" max="3351" width="16.7109375" style="245" customWidth="1"/>
    <col min="3352" max="3352" width="1.85546875" style="245" customWidth="1"/>
    <col min="3353" max="3353" width="16.7109375" style="245" customWidth="1"/>
    <col min="3354" max="3354" width="1.85546875" style="245" customWidth="1"/>
    <col min="3355" max="3355" width="16.7109375" style="245" customWidth="1"/>
    <col min="3356" max="3356" width="1.85546875" style="245" customWidth="1"/>
    <col min="3357" max="3357" width="16.7109375" style="245" customWidth="1"/>
    <col min="3358" max="3358" width="1.85546875" style="245" customWidth="1"/>
    <col min="3359" max="3359" width="17.85546875" style="245" customWidth="1"/>
    <col min="3360" max="3360" width="5.28515625" style="245" customWidth="1"/>
    <col min="3361" max="3361" width="16.7109375" style="245" customWidth="1"/>
    <col min="3362" max="3362" width="5.28515625" style="245" customWidth="1"/>
    <col min="3363" max="3363" width="14.42578125" style="245" customWidth="1"/>
    <col min="3364" max="3364" width="1.85546875" style="245" customWidth="1"/>
    <col min="3365" max="3365" width="16.7109375" style="245" customWidth="1"/>
    <col min="3366" max="3575" width="11" style="245"/>
    <col min="3576" max="3576" width="7.5703125" style="245" customWidth="1"/>
    <col min="3577" max="3577" width="15.5703125" style="245" customWidth="1"/>
    <col min="3578" max="3578" width="20.140625" style="245" customWidth="1"/>
    <col min="3579" max="3579" width="2.28515625" style="245" customWidth="1"/>
    <col min="3580" max="3580" width="17.42578125" style="245" customWidth="1"/>
    <col min="3581" max="3581" width="1.85546875" style="245" customWidth="1"/>
    <col min="3582" max="3582" width="18.7109375" style="245" customWidth="1"/>
    <col min="3583" max="3583" width="1.85546875" style="245" customWidth="1"/>
    <col min="3584" max="3584" width="23" style="245" customWidth="1"/>
    <col min="3585" max="3585" width="1.85546875" style="245" customWidth="1"/>
    <col min="3586" max="3586" width="17.42578125" style="245" customWidth="1"/>
    <col min="3587" max="3587" width="3" style="245" customWidth="1"/>
    <col min="3588" max="3588" width="16.28515625" style="245" customWidth="1"/>
    <col min="3589" max="3589" width="3" style="245" customWidth="1"/>
    <col min="3590" max="3590" width="14.140625" style="245" customWidth="1"/>
    <col min="3591" max="3591" width="2" style="245" customWidth="1"/>
    <col min="3592" max="3592" width="15.85546875" style="245" customWidth="1"/>
    <col min="3593" max="3593" width="3.140625" style="245" customWidth="1"/>
    <col min="3594" max="3594" width="17.85546875" style="245" customWidth="1"/>
    <col min="3595" max="3595" width="2.5703125" style="245" customWidth="1"/>
    <col min="3596" max="3596" width="15.5703125" style="245" customWidth="1"/>
    <col min="3597" max="3597" width="1.85546875" style="245" customWidth="1"/>
    <col min="3598" max="3598" width="14.140625" style="245" customWidth="1"/>
    <col min="3599" max="3599" width="11" style="245" customWidth="1"/>
    <col min="3600" max="3601" width="25" style="245" customWidth="1"/>
    <col min="3602" max="3602" width="1.85546875" style="245" customWidth="1"/>
    <col min="3603" max="3603" width="17.85546875" style="245" customWidth="1"/>
    <col min="3604" max="3604" width="1.85546875" style="245" customWidth="1"/>
    <col min="3605" max="3605" width="19" style="245" customWidth="1"/>
    <col min="3606" max="3606" width="1.85546875" style="245" customWidth="1"/>
    <col min="3607" max="3607" width="16.7109375" style="245" customWidth="1"/>
    <col min="3608" max="3608" width="1.85546875" style="245" customWidth="1"/>
    <col min="3609" max="3609" width="16.7109375" style="245" customWidth="1"/>
    <col min="3610" max="3610" width="1.85546875" style="245" customWidth="1"/>
    <col min="3611" max="3611" width="16.7109375" style="245" customWidth="1"/>
    <col min="3612" max="3612" width="1.85546875" style="245" customWidth="1"/>
    <col min="3613" max="3613" width="16.7109375" style="245" customWidth="1"/>
    <col min="3614" max="3614" width="1.85546875" style="245" customWidth="1"/>
    <col min="3615" max="3615" width="17.85546875" style="245" customWidth="1"/>
    <col min="3616" max="3616" width="5.28515625" style="245" customWidth="1"/>
    <col min="3617" max="3617" width="16.7109375" style="245" customWidth="1"/>
    <col min="3618" max="3618" width="5.28515625" style="245" customWidth="1"/>
    <col min="3619" max="3619" width="14.42578125" style="245" customWidth="1"/>
    <col min="3620" max="3620" width="1.85546875" style="245" customWidth="1"/>
    <col min="3621" max="3621" width="16.7109375" style="245" customWidth="1"/>
    <col min="3622" max="3831" width="11" style="245"/>
    <col min="3832" max="3832" width="7.5703125" style="245" customWidth="1"/>
    <col min="3833" max="3833" width="15.5703125" style="245" customWidth="1"/>
    <col min="3834" max="3834" width="20.140625" style="245" customWidth="1"/>
    <col min="3835" max="3835" width="2.28515625" style="245" customWidth="1"/>
    <col min="3836" max="3836" width="17.42578125" style="245" customWidth="1"/>
    <col min="3837" max="3837" width="1.85546875" style="245" customWidth="1"/>
    <col min="3838" max="3838" width="18.7109375" style="245" customWidth="1"/>
    <col min="3839" max="3839" width="1.85546875" style="245" customWidth="1"/>
    <col min="3840" max="3840" width="23" style="245" customWidth="1"/>
    <col min="3841" max="3841" width="1.85546875" style="245" customWidth="1"/>
    <col min="3842" max="3842" width="17.42578125" style="245" customWidth="1"/>
    <col min="3843" max="3843" width="3" style="245" customWidth="1"/>
    <col min="3844" max="3844" width="16.28515625" style="245" customWidth="1"/>
    <col min="3845" max="3845" width="3" style="245" customWidth="1"/>
    <col min="3846" max="3846" width="14.140625" style="245" customWidth="1"/>
    <col min="3847" max="3847" width="2" style="245" customWidth="1"/>
    <col min="3848" max="3848" width="15.85546875" style="245" customWidth="1"/>
    <col min="3849" max="3849" width="3.140625" style="245" customWidth="1"/>
    <col min="3850" max="3850" width="17.85546875" style="245" customWidth="1"/>
    <col min="3851" max="3851" width="2.5703125" style="245" customWidth="1"/>
    <col min="3852" max="3852" width="15.5703125" style="245" customWidth="1"/>
    <col min="3853" max="3853" width="1.85546875" style="245" customWidth="1"/>
    <col min="3854" max="3854" width="14.140625" style="245" customWidth="1"/>
    <col min="3855" max="3855" width="11" style="245" customWidth="1"/>
    <col min="3856" max="3857" width="25" style="245" customWidth="1"/>
    <col min="3858" max="3858" width="1.85546875" style="245" customWidth="1"/>
    <col min="3859" max="3859" width="17.85546875" style="245" customWidth="1"/>
    <col min="3860" max="3860" width="1.85546875" style="245" customWidth="1"/>
    <col min="3861" max="3861" width="19" style="245" customWidth="1"/>
    <col min="3862" max="3862" width="1.85546875" style="245" customWidth="1"/>
    <col min="3863" max="3863" width="16.7109375" style="245" customWidth="1"/>
    <col min="3864" max="3864" width="1.85546875" style="245" customWidth="1"/>
    <col min="3865" max="3865" width="16.7109375" style="245" customWidth="1"/>
    <col min="3866" max="3866" width="1.85546875" style="245" customWidth="1"/>
    <col min="3867" max="3867" width="16.7109375" style="245" customWidth="1"/>
    <col min="3868" max="3868" width="1.85546875" style="245" customWidth="1"/>
    <col min="3869" max="3869" width="16.7109375" style="245" customWidth="1"/>
    <col min="3870" max="3870" width="1.85546875" style="245" customWidth="1"/>
    <col min="3871" max="3871" width="17.85546875" style="245" customWidth="1"/>
    <col min="3872" max="3872" width="5.28515625" style="245" customWidth="1"/>
    <col min="3873" max="3873" width="16.7109375" style="245" customWidth="1"/>
    <col min="3874" max="3874" width="5.28515625" style="245" customWidth="1"/>
    <col min="3875" max="3875" width="14.42578125" style="245" customWidth="1"/>
    <col min="3876" max="3876" width="1.85546875" style="245" customWidth="1"/>
    <col min="3877" max="3877" width="16.7109375" style="245" customWidth="1"/>
    <col min="3878" max="4087" width="11" style="245"/>
    <col min="4088" max="4088" width="7.5703125" style="245" customWidth="1"/>
    <col min="4089" max="4089" width="15.5703125" style="245" customWidth="1"/>
    <col min="4090" max="4090" width="20.140625" style="245" customWidth="1"/>
    <col min="4091" max="4091" width="2.28515625" style="245" customWidth="1"/>
    <col min="4092" max="4092" width="17.42578125" style="245" customWidth="1"/>
    <col min="4093" max="4093" width="1.85546875" style="245" customWidth="1"/>
    <col min="4094" max="4094" width="18.7109375" style="245" customWidth="1"/>
    <col min="4095" max="4095" width="1.85546875" style="245" customWidth="1"/>
    <col min="4096" max="4096" width="23" style="245" customWidth="1"/>
    <col min="4097" max="4097" width="1.85546875" style="245" customWidth="1"/>
    <col min="4098" max="4098" width="17.42578125" style="245" customWidth="1"/>
    <col min="4099" max="4099" width="3" style="245" customWidth="1"/>
    <col min="4100" max="4100" width="16.28515625" style="245" customWidth="1"/>
    <col min="4101" max="4101" width="3" style="245" customWidth="1"/>
    <col min="4102" max="4102" width="14.140625" style="245" customWidth="1"/>
    <col min="4103" max="4103" width="2" style="245" customWidth="1"/>
    <col min="4104" max="4104" width="15.85546875" style="245" customWidth="1"/>
    <col min="4105" max="4105" width="3.140625" style="245" customWidth="1"/>
    <col min="4106" max="4106" width="17.85546875" style="245" customWidth="1"/>
    <col min="4107" max="4107" width="2.5703125" style="245" customWidth="1"/>
    <col min="4108" max="4108" width="15.5703125" style="245" customWidth="1"/>
    <col min="4109" max="4109" width="1.85546875" style="245" customWidth="1"/>
    <col min="4110" max="4110" width="14.140625" style="245" customWidth="1"/>
    <col min="4111" max="4111" width="11" style="245" customWidth="1"/>
    <col min="4112" max="4113" width="25" style="245" customWidth="1"/>
    <col min="4114" max="4114" width="1.85546875" style="245" customWidth="1"/>
    <col min="4115" max="4115" width="17.85546875" style="245" customWidth="1"/>
    <col min="4116" max="4116" width="1.85546875" style="245" customWidth="1"/>
    <col min="4117" max="4117" width="19" style="245" customWidth="1"/>
    <col min="4118" max="4118" width="1.85546875" style="245" customWidth="1"/>
    <col min="4119" max="4119" width="16.7109375" style="245" customWidth="1"/>
    <col min="4120" max="4120" width="1.85546875" style="245" customWidth="1"/>
    <col min="4121" max="4121" width="16.7109375" style="245" customWidth="1"/>
    <col min="4122" max="4122" width="1.85546875" style="245" customWidth="1"/>
    <col min="4123" max="4123" width="16.7109375" style="245" customWidth="1"/>
    <col min="4124" max="4124" width="1.85546875" style="245" customWidth="1"/>
    <col min="4125" max="4125" width="16.7109375" style="245" customWidth="1"/>
    <col min="4126" max="4126" width="1.85546875" style="245" customWidth="1"/>
    <col min="4127" max="4127" width="17.85546875" style="245" customWidth="1"/>
    <col min="4128" max="4128" width="5.28515625" style="245" customWidth="1"/>
    <col min="4129" max="4129" width="16.7109375" style="245" customWidth="1"/>
    <col min="4130" max="4130" width="5.28515625" style="245" customWidth="1"/>
    <col min="4131" max="4131" width="14.42578125" style="245" customWidth="1"/>
    <col min="4132" max="4132" width="1.85546875" style="245" customWidth="1"/>
    <col min="4133" max="4133" width="16.7109375" style="245" customWidth="1"/>
    <col min="4134" max="4343" width="11" style="245"/>
    <col min="4344" max="4344" width="7.5703125" style="245" customWidth="1"/>
    <col min="4345" max="4345" width="15.5703125" style="245" customWidth="1"/>
    <col min="4346" max="4346" width="20.140625" style="245" customWidth="1"/>
    <col min="4347" max="4347" width="2.28515625" style="245" customWidth="1"/>
    <col min="4348" max="4348" width="17.42578125" style="245" customWidth="1"/>
    <col min="4349" max="4349" width="1.85546875" style="245" customWidth="1"/>
    <col min="4350" max="4350" width="18.7109375" style="245" customWidth="1"/>
    <col min="4351" max="4351" width="1.85546875" style="245" customWidth="1"/>
    <col min="4352" max="4352" width="23" style="245" customWidth="1"/>
    <col min="4353" max="4353" width="1.85546875" style="245" customWidth="1"/>
    <col min="4354" max="4354" width="17.42578125" style="245" customWidth="1"/>
    <col min="4355" max="4355" width="3" style="245" customWidth="1"/>
    <col min="4356" max="4356" width="16.28515625" style="245" customWidth="1"/>
    <col min="4357" max="4357" width="3" style="245" customWidth="1"/>
    <col min="4358" max="4358" width="14.140625" style="245" customWidth="1"/>
    <col min="4359" max="4359" width="2" style="245" customWidth="1"/>
    <col min="4360" max="4360" width="15.85546875" style="245" customWidth="1"/>
    <col min="4361" max="4361" width="3.140625" style="245" customWidth="1"/>
    <col min="4362" max="4362" width="17.85546875" style="245" customWidth="1"/>
    <col min="4363" max="4363" width="2.5703125" style="245" customWidth="1"/>
    <col min="4364" max="4364" width="15.5703125" style="245" customWidth="1"/>
    <col min="4365" max="4365" width="1.85546875" style="245" customWidth="1"/>
    <col min="4366" max="4366" width="14.140625" style="245" customWidth="1"/>
    <col min="4367" max="4367" width="11" style="245" customWidth="1"/>
    <col min="4368" max="4369" width="25" style="245" customWidth="1"/>
    <col min="4370" max="4370" width="1.85546875" style="245" customWidth="1"/>
    <col min="4371" max="4371" width="17.85546875" style="245" customWidth="1"/>
    <col min="4372" max="4372" width="1.85546875" style="245" customWidth="1"/>
    <col min="4373" max="4373" width="19" style="245" customWidth="1"/>
    <col min="4374" max="4374" width="1.85546875" style="245" customWidth="1"/>
    <col min="4375" max="4375" width="16.7109375" style="245" customWidth="1"/>
    <col min="4376" max="4376" width="1.85546875" style="245" customWidth="1"/>
    <col min="4377" max="4377" width="16.7109375" style="245" customWidth="1"/>
    <col min="4378" max="4378" width="1.85546875" style="245" customWidth="1"/>
    <col min="4379" max="4379" width="16.7109375" style="245" customWidth="1"/>
    <col min="4380" max="4380" width="1.85546875" style="245" customWidth="1"/>
    <col min="4381" max="4381" width="16.7109375" style="245" customWidth="1"/>
    <col min="4382" max="4382" width="1.85546875" style="245" customWidth="1"/>
    <col min="4383" max="4383" width="17.85546875" style="245" customWidth="1"/>
    <col min="4384" max="4384" width="5.28515625" style="245" customWidth="1"/>
    <col min="4385" max="4385" width="16.7109375" style="245" customWidth="1"/>
    <col min="4386" max="4386" width="5.28515625" style="245" customWidth="1"/>
    <col min="4387" max="4387" width="14.42578125" style="245" customWidth="1"/>
    <col min="4388" max="4388" width="1.85546875" style="245" customWidth="1"/>
    <col min="4389" max="4389" width="16.7109375" style="245" customWidth="1"/>
    <col min="4390" max="4599" width="11" style="245"/>
    <col min="4600" max="4600" width="7.5703125" style="245" customWidth="1"/>
    <col min="4601" max="4601" width="15.5703125" style="245" customWidth="1"/>
    <col min="4602" max="4602" width="20.140625" style="245" customWidth="1"/>
    <col min="4603" max="4603" width="2.28515625" style="245" customWidth="1"/>
    <col min="4604" max="4604" width="17.42578125" style="245" customWidth="1"/>
    <col min="4605" max="4605" width="1.85546875" style="245" customWidth="1"/>
    <col min="4606" max="4606" width="18.7109375" style="245" customWidth="1"/>
    <col min="4607" max="4607" width="1.85546875" style="245" customWidth="1"/>
    <col min="4608" max="4608" width="23" style="245" customWidth="1"/>
    <col min="4609" max="4609" width="1.85546875" style="245" customWidth="1"/>
    <col min="4610" max="4610" width="17.42578125" style="245" customWidth="1"/>
    <col min="4611" max="4611" width="3" style="245" customWidth="1"/>
    <col min="4612" max="4612" width="16.28515625" style="245" customWidth="1"/>
    <col min="4613" max="4613" width="3" style="245" customWidth="1"/>
    <col min="4614" max="4614" width="14.140625" style="245" customWidth="1"/>
    <col min="4615" max="4615" width="2" style="245" customWidth="1"/>
    <col min="4616" max="4616" width="15.85546875" style="245" customWidth="1"/>
    <col min="4617" max="4617" width="3.140625" style="245" customWidth="1"/>
    <col min="4618" max="4618" width="17.85546875" style="245" customWidth="1"/>
    <col min="4619" max="4619" width="2.5703125" style="245" customWidth="1"/>
    <col min="4620" max="4620" width="15.5703125" style="245" customWidth="1"/>
    <col min="4621" max="4621" width="1.85546875" style="245" customWidth="1"/>
    <col min="4622" max="4622" width="14.140625" style="245" customWidth="1"/>
    <col min="4623" max="4623" width="11" style="245" customWidth="1"/>
    <col min="4624" max="4625" width="25" style="245" customWidth="1"/>
    <col min="4626" max="4626" width="1.85546875" style="245" customWidth="1"/>
    <col min="4627" max="4627" width="17.85546875" style="245" customWidth="1"/>
    <col min="4628" max="4628" width="1.85546875" style="245" customWidth="1"/>
    <col min="4629" max="4629" width="19" style="245" customWidth="1"/>
    <col min="4630" max="4630" width="1.85546875" style="245" customWidth="1"/>
    <col min="4631" max="4631" width="16.7109375" style="245" customWidth="1"/>
    <col min="4632" max="4632" width="1.85546875" style="245" customWidth="1"/>
    <col min="4633" max="4633" width="16.7109375" style="245" customWidth="1"/>
    <col min="4634" max="4634" width="1.85546875" style="245" customWidth="1"/>
    <col min="4635" max="4635" width="16.7109375" style="245" customWidth="1"/>
    <col min="4636" max="4636" width="1.85546875" style="245" customWidth="1"/>
    <col min="4637" max="4637" width="16.7109375" style="245" customWidth="1"/>
    <col min="4638" max="4638" width="1.85546875" style="245" customWidth="1"/>
    <col min="4639" max="4639" width="17.85546875" style="245" customWidth="1"/>
    <col min="4640" max="4640" width="5.28515625" style="245" customWidth="1"/>
    <col min="4641" max="4641" width="16.7109375" style="245" customWidth="1"/>
    <col min="4642" max="4642" width="5.28515625" style="245" customWidth="1"/>
    <col min="4643" max="4643" width="14.42578125" style="245" customWidth="1"/>
    <col min="4644" max="4644" width="1.85546875" style="245" customWidth="1"/>
    <col min="4645" max="4645" width="16.7109375" style="245" customWidth="1"/>
    <col min="4646" max="4855" width="11" style="245"/>
    <col min="4856" max="4856" width="7.5703125" style="245" customWidth="1"/>
    <col min="4857" max="4857" width="15.5703125" style="245" customWidth="1"/>
    <col min="4858" max="4858" width="20.140625" style="245" customWidth="1"/>
    <col min="4859" max="4859" width="2.28515625" style="245" customWidth="1"/>
    <col min="4860" max="4860" width="17.42578125" style="245" customWidth="1"/>
    <col min="4861" max="4861" width="1.85546875" style="245" customWidth="1"/>
    <col min="4862" max="4862" width="18.7109375" style="245" customWidth="1"/>
    <col min="4863" max="4863" width="1.85546875" style="245" customWidth="1"/>
    <col min="4864" max="4864" width="23" style="245" customWidth="1"/>
    <col min="4865" max="4865" width="1.85546875" style="245" customWidth="1"/>
    <col min="4866" max="4866" width="17.42578125" style="245" customWidth="1"/>
    <col min="4867" max="4867" width="3" style="245" customWidth="1"/>
    <col min="4868" max="4868" width="16.28515625" style="245" customWidth="1"/>
    <col min="4869" max="4869" width="3" style="245" customWidth="1"/>
    <col min="4870" max="4870" width="14.140625" style="245" customWidth="1"/>
    <col min="4871" max="4871" width="2" style="245" customWidth="1"/>
    <col min="4872" max="4872" width="15.85546875" style="245" customWidth="1"/>
    <col min="4873" max="4873" width="3.140625" style="245" customWidth="1"/>
    <col min="4874" max="4874" width="17.85546875" style="245" customWidth="1"/>
    <col min="4875" max="4875" width="2.5703125" style="245" customWidth="1"/>
    <col min="4876" max="4876" width="15.5703125" style="245" customWidth="1"/>
    <col min="4877" max="4877" width="1.85546875" style="245" customWidth="1"/>
    <col min="4878" max="4878" width="14.140625" style="245" customWidth="1"/>
    <col min="4879" max="4879" width="11" style="245" customWidth="1"/>
    <col min="4880" max="4881" width="25" style="245" customWidth="1"/>
    <col min="4882" max="4882" width="1.85546875" style="245" customWidth="1"/>
    <col min="4883" max="4883" width="17.85546875" style="245" customWidth="1"/>
    <col min="4884" max="4884" width="1.85546875" style="245" customWidth="1"/>
    <col min="4885" max="4885" width="19" style="245" customWidth="1"/>
    <col min="4886" max="4886" width="1.85546875" style="245" customWidth="1"/>
    <col min="4887" max="4887" width="16.7109375" style="245" customWidth="1"/>
    <col min="4888" max="4888" width="1.85546875" style="245" customWidth="1"/>
    <col min="4889" max="4889" width="16.7109375" style="245" customWidth="1"/>
    <col min="4890" max="4890" width="1.85546875" style="245" customWidth="1"/>
    <col min="4891" max="4891" width="16.7109375" style="245" customWidth="1"/>
    <col min="4892" max="4892" width="1.85546875" style="245" customWidth="1"/>
    <col min="4893" max="4893" width="16.7109375" style="245" customWidth="1"/>
    <col min="4894" max="4894" width="1.85546875" style="245" customWidth="1"/>
    <col min="4895" max="4895" width="17.85546875" style="245" customWidth="1"/>
    <col min="4896" max="4896" width="5.28515625" style="245" customWidth="1"/>
    <col min="4897" max="4897" width="16.7109375" style="245" customWidth="1"/>
    <col min="4898" max="4898" width="5.28515625" style="245" customWidth="1"/>
    <col min="4899" max="4899" width="14.42578125" style="245" customWidth="1"/>
    <col min="4900" max="4900" width="1.85546875" style="245" customWidth="1"/>
    <col min="4901" max="4901" width="16.7109375" style="245" customWidth="1"/>
    <col min="4902" max="5111" width="11" style="245"/>
    <col min="5112" max="5112" width="7.5703125" style="245" customWidth="1"/>
    <col min="5113" max="5113" width="15.5703125" style="245" customWidth="1"/>
    <col min="5114" max="5114" width="20.140625" style="245" customWidth="1"/>
    <col min="5115" max="5115" width="2.28515625" style="245" customWidth="1"/>
    <col min="5116" max="5116" width="17.42578125" style="245" customWidth="1"/>
    <col min="5117" max="5117" width="1.85546875" style="245" customWidth="1"/>
    <col min="5118" max="5118" width="18.7109375" style="245" customWidth="1"/>
    <col min="5119" max="5119" width="1.85546875" style="245" customWidth="1"/>
    <col min="5120" max="5120" width="23" style="245" customWidth="1"/>
    <col min="5121" max="5121" width="1.85546875" style="245" customWidth="1"/>
    <col min="5122" max="5122" width="17.42578125" style="245" customWidth="1"/>
    <col min="5123" max="5123" width="3" style="245" customWidth="1"/>
    <col min="5124" max="5124" width="16.28515625" style="245" customWidth="1"/>
    <col min="5125" max="5125" width="3" style="245" customWidth="1"/>
    <col min="5126" max="5126" width="14.140625" style="245" customWidth="1"/>
    <col min="5127" max="5127" width="2" style="245" customWidth="1"/>
    <col min="5128" max="5128" width="15.85546875" style="245" customWidth="1"/>
    <col min="5129" max="5129" width="3.140625" style="245" customWidth="1"/>
    <col min="5130" max="5130" width="17.85546875" style="245" customWidth="1"/>
    <col min="5131" max="5131" width="2.5703125" style="245" customWidth="1"/>
    <col min="5132" max="5132" width="15.5703125" style="245" customWidth="1"/>
    <col min="5133" max="5133" width="1.85546875" style="245" customWidth="1"/>
    <col min="5134" max="5134" width="14.140625" style="245" customWidth="1"/>
    <col min="5135" max="5135" width="11" style="245" customWidth="1"/>
    <col min="5136" max="5137" width="25" style="245" customWidth="1"/>
    <col min="5138" max="5138" width="1.85546875" style="245" customWidth="1"/>
    <col min="5139" max="5139" width="17.85546875" style="245" customWidth="1"/>
    <col min="5140" max="5140" width="1.85546875" style="245" customWidth="1"/>
    <col min="5141" max="5141" width="19" style="245" customWidth="1"/>
    <col min="5142" max="5142" width="1.85546875" style="245" customWidth="1"/>
    <col min="5143" max="5143" width="16.7109375" style="245" customWidth="1"/>
    <col min="5144" max="5144" width="1.85546875" style="245" customWidth="1"/>
    <col min="5145" max="5145" width="16.7109375" style="245" customWidth="1"/>
    <col min="5146" max="5146" width="1.85546875" style="245" customWidth="1"/>
    <col min="5147" max="5147" width="16.7109375" style="245" customWidth="1"/>
    <col min="5148" max="5148" width="1.85546875" style="245" customWidth="1"/>
    <col min="5149" max="5149" width="16.7109375" style="245" customWidth="1"/>
    <col min="5150" max="5150" width="1.85546875" style="245" customWidth="1"/>
    <col min="5151" max="5151" width="17.85546875" style="245" customWidth="1"/>
    <col min="5152" max="5152" width="5.28515625" style="245" customWidth="1"/>
    <col min="5153" max="5153" width="16.7109375" style="245" customWidth="1"/>
    <col min="5154" max="5154" width="5.28515625" style="245" customWidth="1"/>
    <col min="5155" max="5155" width="14.42578125" style="245" customWidth="1"/>
    <col min="5156" max="5156" width="1.85546875" style="245" customWidth="1"/>
    <col min="5157" max="5157" width="16.7109375" style="245" customWidth="1"/>
    <col min="5158" max="5367" width="11" style="245"/>
    <col min="5368" max="5368" width="7.5703125" style="245" customWidth="1"/>
    <col min="5369" max="5369" width="15.5703125" style="245" customWidth="1"/>
    <col min="5370" max="5370" width="20.140625" style="245" customWidth="1"/>
    <col min="5371" max="5371" width="2.28515625" style="245" customWidth="1"/>
    <col min="5372" max="5372" width="17.42578125" style="245" customWidth="1"/>
    <col min="5373" max="5373" width="1.85546875" style="245" customWidth="1"/>
    <col min="5374" max="5374" width="18.7109375" style="245" customWidth="1"/>
    <col min="5375" max="5375" width="1.85546875" style="245" customWidth="1"/>
    <col min="5376" max="5376" width="23" style="245" customWidth="1"/>
    <col min="5377" max="5377" width="1.85546875" style="245" customWidth="1"/>
    <col min="5378" max="5378" width="17.42578125" style="245" customWidth="1"/>
    <col min="5379" max="5379" width="3" style="245" customWidth="1"/>
    <col min="5380" max="5380" width="16.28515625" style="245" customWidth="1"/>
    <col min="5381" max="5381" width="3" style="245" customWidth="1"/>
    <col min="5382" max="5382" width="14.140625" style="245" customWidth="1"/>
    <col min="5383" max="5383" width="2" style="245" customWidth="1"/>
    <col min="5384" max="5384" width="15.85546875" style="245" customWidth="1"/>
    <col min="5385" max="5385" width="3.140625" style="245" customWidth="1"/>
    <col min="5386" max="5386" width="17.85546875" style="245" customWidth="1"/>
    <col min="5387" max="5387" width="2.5703125" style="245" customWidth="1"/>
    <col min="5388" max="5388" width="15.5703125" style="245" customWidth="1"/>
    <col min="5389" max="5389" width="1.85546875" style="245" customWidth="1"/>
    <col min="5390" max="5390" width="14.140625" style="245" customWidth="1"/>
    <col min="5391" max="5391" width="11" style="245" customWidth="1"/>
    <col min="5392" max="5393" width="25" style="245" customWidth="1"/>
    <col min="5394" max="5394" width="1.85546875" style="245" customWidth="1"/>
    <col min="5395" max="5395" width="17.85546875" style="245" customWidth="1"/>
    <col min="5396" max="5396" width="1.85546875" style="245" customWidth="1"/>
    <col min="5397" max="5397" width="19" style="245" customWidth="1"/>
    <col min="5398" max="5398" width="1.85546875" style="245" customWidth="1"/>
    <col min="5399" max="5399" width="16.7109375" style="245" customWidth="1"/>
    <col min="5400" max="5400" width="1.85546875" style="245" customWidth="1"/>
    <col min="5401" max="5401" width="16.7109375" style="245" customWidth="1"/>
    <col min="5402" max="5402" width="1.85546875" style="245" customWidth="1"/>
    <col min="5403" max="5403" width="16.7109375" style="245" customWidth="1"/>
    <col min="5404" max="5404" width="1.85546875" style="245" customWidth="1"/>
    <col min="5405" max="5405" width="16.7109375" style="245" customWidth="1"/>
    <col min="5406" max="5406" width="1.85546875" style="245" customWidth="1"/>
    <col min="5407" max="5407" width="17.85546875" style="245" customWidth="1"/>
    <col min="5408" max="5408" width="5.28515625" style="245" customWidth="1"/>
    <col min="5409" max="5409" width="16.7109375" style="245" customWidth="1"/>
    <col min="5410" max="5410" width="5.28515625" style="245" customWidth="1"/>
    <col min="5411" max="5411" width="14.42578125" style="245" customWidth="1"/>
    <col min="5412" max="5412" width="1.85546875" style="245" customWidth="1"/>
    <col min="5413" max="5413" width="16.7109375" style="245" customWidth="1"/>
    <col min="5414" max="5623" width="11" style="245"/>
    <col min="5624" max="5624" width="7.5703125" style="245" customWidth="1"/>
    <col min="5625" max="5625" width="15.5703125" style="245" customWidth="1"/>
    <col min="5626" max="5626" width="20.140625" style="245" customWidth="1"/>
    <col min="5627" max="5627" width="2.28515625" style="245" customWidth="1"/>
    <col min="5628" max="5628" width="17.42578125" style="245" customWidth="1"/>
    <col min="5629" max="5629" width="1.85546875" style="245" customWidth="1"/>
    <col min="5630" max="5630" width="18.7109375" style="245" customWidth="1"/>
    <col min="5631" max="5631" width="1.85546875" style="245" customWidth="1"/>
    <col min="5632" max="5632" width="23" style="245" customWidth="1"/>
    <col min="5633" max="5633" width="1.85546875" style="245" customWidth="1"/>
    <col min="5634" max="5634" width="17.42578125" style="245" customWidth="1"/>
    <col min="5635" max="5635" width="3" style="245" customWidth="1"/>
    <col min="5636" max="5636" width="16.28515625" style="245" customWidth="1"/>
    <col min="5637" max="5637" width="3" style="245" customWidth="1"/>
    <col min="5638" max="5638" width="14.140625" style="245" customWidth="1"/>
    <col min="5639" max="5639" width="2" style="245" customWidth="1"/>
    <col min="5640" max="5640" width="15.85546875" style="245" customWidth="1"/>
    <col min="5641" max="5641" width="3.140625" style="245" customWidth="1"/>
    <col min="5642" max="5642" width="17.85546875" style="245" customWidth="1"/>
    <col min="5643" max="5643" width="2.5703125" style="245" customWidth="1"/>
    <col min="5644" max="5644" width="15.5703125" style="245" customWidth="1"/>
    <col min="5645" max="5645" width="1.85546875" style="245" customWidth="1"/>
    <col min="5646" max="5646" width="14.140625" style="245" customWidth="1"/>
    <col min="5647" max="5647" width="11" style="245" customWidth="1"/>
    <col min="5648" max="5649" width="25" style="245" customWidth="1"/>
    <col min="5650" max="5650" width="1.85546875" style="245" customWidth="1"/>
    <col min="5651" max="5651" width="17.85546875" style="245" customWidth="1"/>
    <col min="5652" max="5652" width="1.85546875" style="245" customWidth="1"/>
    <col min="5653" max="5653" width="19" style="245" customWidth="1"/>
    <col min="5654" max="5654" width="1.85546875" style="245" customWidth="1"/>
    <col min="5655" max="5655" width="16.7109375" style="245" customWidth="1"/>
    <col min="5656" max="5656" width="1.85546875" style="245" customWidth="1"/>
    <col min="5657" max="5657" width="16.7109375" style="245" customWidth="1"/>
    <col min="5658" max="5658" width="1.85546875" style="245" customWidth="1"/>
    <col min="5659" max="5659" width="16.7109375" style="245" customWidth="1"/>
    <col min="5660" max="5660" width="1.85546875" style="245" customWidth="1"/>
    <col min="5661" max="5661" width="16.7109375" style="245" customWidth="1"/>
    <col min="5662" max="5662" width="1.85546875" style="245" customWidth="1"/>
    <col min="5663" max="5663" width="17.85546875" style="245" customWidth="1"/>
    <col min="5664" max="5664" width="5.28515625" style="245" customWidth="1"/>
    <col min="5665" max="5665" width="16.7109375" style="245" customWidth="1"/>
    <col min="5666" max="5666" width="5.28515625" style="245" customWidth="1"/>
    <col min="5667" max="5667" width="14.42578125" style="245" customWidth="1"/>
    <col min="5668" max="5668" width="1.85546875" style="245" customWidth="1"/>
    <col min="5669" max="5669" width="16.7109375" style="245" customWidth="1"/>
    <col min="5670" max="5879" width="11" style="245"/>
    <col min="5880" max="5880" width="7.5703125" style="245" customWidth="1"/>
    <col min="5881" max="5881" width="15.5703125" style="245" customWidth="1"/>
    <col min="5882" max="5882" width="20.140625" style="245" customWidth="1"/>
    <col min="5883" max="5883" width="2.28515625" style="245" customWidth="1"/>
    <col min="5884" max="5884" width="17.42578125" style="245" customWidth="1"/>
    <col min="5885" max="5885" width="1.85546875" style="245" customWidth="1"/>
    <col min="5886" max="5886" width="18.7109375" style="245" customWidth="1"/>
    <col min="5887" max="5887" width="1.85546875" style="245" customWidth="1"/>
    <col min="5888" max="5888" width="23" style="245" customWidth="1"/>
    <col min="5889" max="5889" width="1.85546875" style="245" customWidth="1"/>
    <col min="5890" max="5890" width="17.42578125" style="245" customWidth="1"/>
    <col min="5891" max="5891" width="3" style="245" customWidth="1"/>
    <col min="5892" max="5892" width="16.28515625" style="245" customWidth="1"/>
    <col min="5893" max="5893" width="3" style="245" customWidth="1"/>
    <col min="5894" max="5894" width="14.140625" style="245" customWidth="1"/>
    <col min="5895" max="5895" width="2" style="245" customWidth="1"/>
    <col min="5896" max="5896" width="15.85546875" style="245" customWidth="1"/>
    <col min="5897" max="5897" width="3.140625" style="245" customWidth="1"/>
    <col min="5898" max="5898" width="17.85546875" style="245" customWidth="1"/>
    <col min="5899" max="5899" width="2.5703125" style="245" customWidth="1"/>
    <col min="5900" max="5900" width="15.5703125" style="245" customWidth="1"/>
    <col min="5901" max="5901" width="1.85546875" style="245" customWidth="1"/>
    <col min="5902" max="5902" width="14.140625" style="245" customWidth="1"/>
    <col min="5903" max="5903" width="11" style="245" customWidth="1"/>
    <col min="5904" max="5905" width="25" style="245" customWidth="1"/>
    <col min="5906" max="5906" width="1.85546875" style="245" customWidth="1"/>
    <col min="5907" max="5907" width="17.85546875" style="245" customWidth="1"/>
    <col min="5908" max="5908" width="1.85546875" style="245" customWidth="1"/>
    <col min="5909" max="5909" width="19" style="245" customWidth="1"/>
    <col min="5910" max="5910" width="1.85546875" style="245" customWidth="1"/>
    <col min="5911" max="5911" width="16.7109375" style="245" customWidth="1"/>
    <col min="5912" max="5912" width="1.85546875" style="245" customWidth="1"/>
    <col min="5913" max="5913" width="16.7109375" style="245" customWidth="1"/>
    <col min="5914" max="5914" width="1.85546875" style="245" customWidth="1"/>
    <col min="5915" max="5915" width="16.7109375" style="245" customWidth="1"/>
    <col min="5916" max="5916" width="1.85546875" style="245" customWidth="1"/>
    <col min="5917" max="5917" width="16.7109375" style="245" customWidth="1"/>
    <col min="5918" max="5918" width="1.85546875" style="245" customWidth="1"/>
    <col min="5919" max="5919" width="17.85546875" style="245" customWidth="1"/>
    <col min="5920" max="5920" width="5.28515625" style="245" customWidth="1"/>
    <col min="5921" max="5921" width="16.7109375" style="245" customWidth="1"/>
    <col min="5922" max="5922" width="5.28515625" style="245" customWidth="1"/>
    <col min="5923" max="5923" width="14.42578125" style="245" customWidth="1"/>
    <col min="5924" max="5924" width="1.85546875" style="245" customWidth="1"/>
    <col min="5925" max="5925" width="16.7109375" style="245" customWidth="1"/>
    <col min="5926" max="6135" width="11" style="245"/>
    <col min="6136" max="6136" width="7.5703125" style="245" customWidth="1"/>
    <col min="6137" max="6137" width="15.5703125" style="245" customWidth="1"/>
    <col min="6138" max="6138" width="20.140625" style="245" customWidth="1"/>
    <col min="6139" max="6139" width="2.28515625" style="245" customWidth="1"/>
    <col min="6140" max="6140" width="17.42578125" style="245" customWidth="1"/>
    <col min="6141" max="6141" width="1.85546875" style="245" customWidth="1"/>
    <col min="6142" max="6142" width="18.7109375" style="245" customWidth="1"/>
    <col min="6143" max="6143" width="1.85546875" style="245" customWidth="1"/>
    <col min="6144" max="6144" width="23" style="245" customWidth="1"/>
    <col min="6145" max="6145" width="1.85546875" style="245" customWidth="1"/>
    <col min="6146" max="6146" width="17.42578125" style="245" customWidth="1"/>
    <col min="6147" max="6147" width="3" style="245" customWidth="1"/>
    <col min="6148" max="6148" width="16.28515625" style="245" customWidth="1"/>
    <col min="6149" max="6149" width="3" style="245" customWidth="1"/>
    <col min="6150" max="6150" width="14.140625" style="245" customWidth="1"/>
    <col min="6151" max="6151" width="2" style="245" customWidth="1"/>
    <col min="6152" max="6152" width="15.85546875" style="245" customWidth="1"/>
    <col min="6153" max="6153" width="3.140625" style="245" customWidth="1"/>
    <col min="6154" max="6154" width="17.85546875" style="245" customWidth="1"/>
    <col min="6155" max="6155" width="2.5703125" style="245" customWidth="1"/>
    <col min="6156" max="6156" width="15.5703125" style="245" customWidth="1"/>
    <col min="6157" max="6157" width="1.85546875" style="245" customWidth="1"/>
    <col min="6158" max="6158" width="14.140625" style="245" customWidth="1"/>
    <col min="6159" max="6159" width="11" style="245" customWidth="1"/>
    <col min="6160" max="6161" width="25" style="245" customWidth="1"/>
    <col min="6162" max="6162" width="1.85546875" style="245" customWidth="1"/>
    <col min="6163" max="6163" width="17.85546875" style="245" customWidth="1"/>
    <col min="6164" max="6164" width="1.85546875" style="245" customWidth="1"/>
    <col min="6165" max="6165" width="19" style="245" customWidth="1"/>
    <col min="6166" max="6166" width="1.85546875" style="245" customWidth="1"/>
    <col min="6167" max="6167" width="16.7109375" style="245" customWidth="1"/>
    <col min="6168" max="6168" width="1.85546875" style="245" customWidth="1"/>
    <col min="6169" max="6169" width="16.7109375" style="245" customWidth="1"/>
    <col min="6170" max="6170" width="1.85546875" style="245" customWidth="1"/>
    <col min="6171" max="6171" width="16.7109375" style="245" customWidth="1"/>
    <col min="6172" max="6172" width="1.85546875" style="245" customWidth="1"/>
    <col min="6173" max="6173" width="16.7109375" style="245" customWidth="1"/>
    <col min="6174" max="6174" width="1.85546875" style="245" customWidth="1"/>
    <col min="6175" max="6175" width="17.85546875" style="245" customWidth="1"/>
    <col min="6176" max="6176" width="5.28515625" style="245" customWidth="1"/>
    <col min="6177" max="6177" width="16.7109375" style="245" customWidth="1"/>
    <col min="6178" max="6178" width="5.28515625" style="245" customWidth="1"/>
    <col min="6179" max="6179" width="14.42578125" style="245" customWidth="1"/>
    <col min="6180" max="6180" width="1.85546875" style="245" customWidth="1"/>
    <col min="6181" max="6181" width="16.7109375" style="245" customWidth="1"/>
    <col min="6182" max="6391" width="11" style="245"/>
    <col min="6392" max="6392" width="7.5703125" style="245" customWidth="1"/>
    <col min="6393" max="6393" width="15.5703125" style="245" customWidth="1"/>
    <col min="6394" max="6394" width="20.140625" style="245" customWidth="1"/>
    <col min="6395" max="6395" width="2.28515625" style="245" customWidth="1"/>
    <col min="6396" max="6396" width="17.42578125" style="245" customWidth="1"/>
    <col min="6397" max="6397" width="1.85546875" style="245" customWidth="1"/>
    <col min="6398" max="6398" width="18.7109375" style="245" customWidth="1"/>
    <col min="6399" max="6399" width="1.85546875" style="245" customWidth="1"/>
    <col min="6400" max="6400" width="23" style="245" customWidth="1"/>
    <col min="6401" max="6401" width="1.85546875" style="245" customWidth="1"/>
    <col min="6402" max="6402" width="17.42578125" style="245" customWidth="1"/>
    <col min="6403" max="6403" width="3" style="245" customWidth="1"/>
    <col min="6404" max="6404" width="16.28515625" style="245" customWidth="1"/>
    <col min="6405" max="6405" width="3" style="245" customWidth="1"/>
    <col min="6406" max="6406" width="14.140625" style="245" customWidth="1"/>
    <col min="6407" max="6407" width="2" style="245" customWidth="1"/>
    <col min="6408" max="6408" width="15.85546875" style="245" customWidth="1"/>
    <col min="6409" max="6409" width="3.140625" style="245" customWidth="1"/>
    <col min="6410" max="6410" width="17.85546875" style="245" customWidth="1"/>
    <col min="6411" max="6411" width="2.5703125" style="245" customWidth="1"/>
    <col min="6412" max="6412" width="15.5703125" style="245" customWidth="1"/>
    <col min="6413" max="6413" width="1.85546875" style="245" customWidth="1"/>
    <col min="6414" max="6414" width="14.140625" style="245" customWidth="1"/>
    <col min="6415" max="6415" width="11" style="245" customWidth="1"/>
    <col min="6416" max="6417" width="25" style="245" customWidth="1"/>
    <col min="6418" max="6418" width="1.85546875" style="245" customWidth="1"/>
    <col min="6419" max="6419" width="17.85546875" style="245" customWidth="1"/>
    <col min="6420" max="6420" width="1.85546875" style="245" customWidth="1"/>
    <col min="6421" max="6421" width="19" style="245" customWidth="1"/>
    <col min="6422" max="6422" width="1.85546875" style="245" customWidth="1"/>
    <col min="6423" max="6423" width="16.7109375" style="245" customWidth="1"/>
    <col min="6424" max="6424" width="1.85546875" style="245" customWidth="1"/>
    <col min="6425" max="6425" width="16.7109375" style="245" customWidth="1"/>
    <col min="6426" max="6426" width="1.85546875" style="245" customWidth="1"/>
    <col min="6427" max="6427" width="16.7109375" style="245" customWidth="1"/>
    <col min="6428" max="6428" width="1.85546875" style="245" customWidth="1"/>
    <col min="6429" max="6429" width="16.7109375" style="245" customWidth="1"/>
    <col min="6430" max="6430" width="1.85546875" style="245" customWidth="1"/>
    <col min="6431" max="6431" width="17.85546875" style="245" customWidth="1"/>
    <col min="6432" max="6432" width="5.28515625" style="245" customWidth="1"/>
    <col min="6433" max="6433" width="16.7109375" style="245" customWidth="1"/>
    <col min="6434" max="6434" width="5.28515625" style="245" customWidth="1"/>
    <col min="6435" max="6435" width="14.42578125" style="245" customWidth="1"/>
    <col min="6436" max="6436" width="1.85546875" style="245" customWidth="1"/>
    <col min="6437" max="6437" width="16.7109375" style="245" customWidth="1"/>
    <col min="6438" max="6647" width="11" style="245"/>
    <col min="6648" max="6648" width="7.5703125" style="245" customWidth="1"/>
    <col min="6649" max="6649" width="15.5703125" style="245" customWidth="1"/>
    <col min="6650" max="6650" width="20.140625" style="245" customWidth="1"/>
    <col min="6651" max="6651" width="2.28515625" style="245" customWidth="1"/>
    <col min="6652" max="6652" width="17.42578125" style="245" customWidth="1"/>
    <col min="6653" max="6653" width="1.85546875" style="245" customWidth="1"/>
    <col min="6654" max="6654" width="18.7109375" style="245" customWidth="1"/>
    <col min="6655" max="6655" width="1.85546875" style="245" customWidth="1"/>
    <col min="6656" max="6656" width="23" style="245" customWidth="1"/>
    <col min="6657" max="6657" width="1.85546875" style="245" customWidth="1"/>
    <col min="6658" max="6658" width="17.42578125" style="245" customWidth="1"/>
    <col min="6659" max="6659" width="3" style="245" customWidth="1"/>
    <col min="6660" max="6660" width="16.28515625" style="245" customWidth="1"/>
    <col min="6661" max="6661" width="3" style="245" customWidth="1"/>
    <col min="6662" max="6662" width="14.140625" style="245" customWidth="1"/>
    <col min="6663" max="6663" width="2" style="245" customWidth="1"/>
    <col min="6664" max="6664" width="15.85546875" style="245" customWidth="1"/>
    <col min="6665" max="6665" width="3.140625" style="245" customWidth="1"/>
    <col min="6666" max="6666" width="17.85546875" style="245" customWidth="1"/>
    <col min="6667" max="6667" width="2.5703125" style="245" customWidth="1"/>
    <col min="6668" max="6668" width="15.5703125" style="245" customWidth="1"/>
    <col min="6669" max="6669" width="1.85546875" style="245" customWidth="1"/>
    <col min="6670" max="6670" width="14.140625" style="245" customWidth="1"/>
    <col min="6671" max="6671" width="11" style="245" customWidth="1"/>
    <col min="6672" max="6673" width="25" style="245" customWidth="1"/>
    <col min="6674" max="6674" width="1.85546875" style="245" customWidth="1"/>
    <col min="6675" max="6675" width="17.85546875" style="245" customWidth="1"/>
    <col min="6676" max="6676" width="1.85546875" style="245" customWidth="1"/>
    <col min="6677" max="6677" width="19" style="245" customWidth="1"/>
    <col min="6678" max="6678" width="1.85546875" style="245" customWidth="1"/>
    <col min="6679" max="6679" width="16.7109375" style="245" customWidth="1"/>
    <col min="6680" max="6680" width="1.85546875" style="245" customWidth="1"/>
    <col min="6681" max="6681" width="16.7109375" style="245" customWidth="1"/>
    <col min="6682" max="6682" width="1.85546875" style="245" customWidth="1"/>
    <col min="6683" max="6683" width="16.7109375" style="245" customWidth="1"/>
    <col min="6684" max="6684" width="1.85546875" style="245" customWidth="1"/>
    <col min="6685" max="6685" width="16.7109375" style="245" customWidth="1"/>
    <col min="6686" max="6686" width="1.85546875" style="245" customWidth="1"/>
    <col min="6687" max="6687" width="17.85546875" style="245" customWidth="1"/>
    <col min="6688" max="6688" width="5.28515625" style="245" customWidth="1"/>
    <col min="6689" max="6689" width="16.7109375" style="245" customWidth="1"/>
    <col min="6690" max="6690" width="5.28515625" style="245" customWidth="1"/>
    <col min="6691" max="6691" width="14.42578125" style="245" customWidth="1"/>
    <col min="6692" max="6692" width="1.85546875" style="245" customWidth="1"/>
    <col min="6693" max="6693" width="16.7109375" style="245" customWidth="1"/>
    <col min="6694" max="6903" width="11" style="245"/>
    <col min="6904" max="6904" width="7.5703125" style="245" customWidth="1"/>
    <col min="6905" max="6905" width="15.5703125" style="245" customWidth="1"/>
    <col min="6906" max="6906" width="20.140625" style="245" customWidth="1"/>
    <col min="6907" max="6907" width="2.28515625" style="245" customWidth="1"/>
    <col min="6908" max="6908" width="17.42578125" style="245" customWidth="1"/>
    <col min="6909" max="6909" width="1.85546875" style="245" customWidth="1"/>
    <col min="6910" max="6910" width="18.7109375" style="245" customWidth="1"/>
    <col min="6911" max="6911" width="1.85546875" style="245" customWidth="1"/>
    <col min="6912" max="6912" width="23" style="245" customWidth="1"/>
    <col min="6913" max="6913" width="1.85546875" style="245" customWidth="1"/>
    <col min="6914" max="6914" width="17.42578125" style="245" customWidth="1"/>
    <col min="6915" max="6915" width="3" style="245" customWidth="1"/>
    <col min="6916" max="6916" width="16.28515625" style="245" customWidth="1"/>
    <col min="6917" max="6917" width="3" style="245" customWidth="1"/>
    <col min="6918" max="6918" width="14.140625" style="245" customWidth="1"/>
    <col min="6919" max="6919" width="2" style="245" customWidth="1"/>
    <col min="6920" max="6920" width="15.85546875" style="245" customWidth="1"/>
    <col min="6921" max="6921" width="3.140625" style="245" customWidth="1"/>
    <col min="6922" max="6922" width="17.85546875" style="245" customWidth="1"/>
    <col min="6923" max="6923" width="2.5703125" style="245" customWidth="1"/>
    <col min="6924" max="6924" width="15.5703125" style="245" customWidth="1"/>
    <col min="6925" max="6925" width="1.85546875" style="245" customWidth="1"/>
    <col min="6926" max="6926" width="14.140625" style="245" customWidth="1"/>
    <col min="6927" max="6927" width="11" style="245" customWidth="1"/>
    <col min="6928" max="6929" width="25" style="245" customWidth="1"/>
    <col min="6930" max="6930" width="1.85546875" style="245" customWidth="1"/>
    <col min="6931" max="6931" width="17.85546875" style="245" customWidth="1"/>
    <col min="6932" max="6932" width="1.85546875" style="245" customWidth="1"/>
    <col min="6933" max="6933" width="19" style="245" customWidth="1"/>
    <col min="6934" max="6934" width="1.85546875" style="245" customWidth="1"/>
    <col min="6935" max="6935" width="16.7109375" style="245" customWidth="1"/>
    <col min="6936" max="6936" width="1.85546875" style="245" customWidth="1"/>
    <col min="6937" max="6937" width="16.7109375" style="245" customWidth="1"/>
    <col min="6938" max="6938" width="1.85546875" style="245" customWidth="1"/>
    <col min="6939" max="6939" width="16.7109375" style="245" customWidth="1"/>
    <col min="6940" max="6940" width="1.85546875" style="245" customWidth="1"/>
    <col min="6941" max="6941" width="16.7109375" style="245" customWidth="1"/>
    <col min="6942" max="6942" width="1.85546875" style="245" customWidth="1"/>
    <col min="6943" max="6943" width="17.85546875" style="245" customWidth="1"/>
    <col min="6944" max="6944" width="5.28515625" style="245" customWidth="1"/>
    <col min="6945" max="6945" width="16.7109375" style="245" customWidth="1"/>
    <col min="6946" max="6946" width="5.28515625" style="245" customWidth="1"/>
    <col min="6947" max="6947" width="14.42578125" style="245" customWidth="1"/>
    <col min="6948" max="6948" width="1.85546875" style="245" customWidth="1"/>
    <col min="6949" max="6949" width="16.7109375" style="245" customWidth="1"/>
    <col min="6950" max="7159" width="11" style="245"/>
    <col min="7160" max="7160" width="7.5703125" style="245" customWidth="1"/>
    <col min="7161" max="7161" width="15.5703125" style="245" customWidth="1"/>
    <col min="7162" max="7162" width="20.140625" style="245" customWidth="1"/>
    <col min="7163" max="7163" width="2.28515625" style="245" customWidth="1"/>
    <col min="7164" max="7164" width="17.42578125" style="245" customWidth="1"/>
    <col min="7165" max="7165" width="1.85546875" style="245" customWidth="1"/>
    <col min="7166" max="7166" width="18.7109375" style="245" customWidth="1"/>
    <col min="7167" max="7167" width="1.85546875" style="245" customWidth="1"/>
    <col min="7168" max="7168" width="23" style="245" customWidth="1"/>
    <col min="7169" max="7169" width="1.85546875" style="245" customWidth="1"/>
    <col min="7170" max="7170" width="17.42578125" style="245" customWidth="1"/>
    <col min="7171" max="7171" width="3" style="245" customWidth="1"/>
    <col min="7172" max="7172" width="16.28515625" style="245" customWidth="1"/>
    <col min="7173" max="7173" width="3" style="245" customWidth="1"/>
    <col min="7174" max="7174" width="14.140625" style="245" customWidth="1"/>
    <col min="7175" max="7175" width="2" style="245" customWidth="1"/>
    <col min="7176" max="7176" width="15.85546875" style="245" customWidth="1"/>
    <col min="7177" max="7177" width="3.140625" style="245" customWidth="1"/>
    <col min="7178" max="7178" width="17.85546875" style="245" customWidth="1"/>
    <col min="7179" max="7179" width="2.5703125" style="245" customWidth="1"/>
    <col min="7180" max="7180" width="15.5703125" style="245" customWidth="1"/>
    <col min="7181" max="7181" width="1.85546875" style="245" customWidth="1"/>
    <col min="7182" max="7182" width="14.140625" style="245" customWidth="1"/>
    <col min="7183" max="7183" width="11" style="245" customWidth="1"/>
    <col min="7184" max="7185" width="25" style="245" customWidth="1"/>
    <col min="7186" max="7186" width="1.85546875" style="245" customWidth="1"/>
    <col min="7187" max="7187" width="17.85546875" style="245" customWidth="1"/>
    <col min="7188" max="7188" width="1.85546875" style="245" customWidth="1"/>
    <col min="7189" max="7189" width="19" style="245" customWidth="1"/>
    <col min="7190" max="7190" width="1.85546875" style="245" customWidth="1"/>
    <col min="7191" max="7191" width="16.7109375" style="245" customWidth="1"/>
    <col min="7192" max="7192" width="1.85546875" style="245" customWidth="1"/>
    <col min="7193" max="7193" width="16.7109375" style="245" customWidth="1"/>
    <col min="7194" max="7194" width="1.85546875" style="245" customWidth="1"/>
    <col min="7195" max="7195" width="16.7109375" style="245" customWidth="1"/>
    <col min="7196" max="7196" width="1.85546875" style="245" customWidth="1"/>
    <col min="7197" max="7197" width="16.7109375" style="245" customWidth="1"/>
    <col min="7198" max="7198" width="1.85546875" style="245" customWidth="1"/>
    <col min="7199" max="7199" width="17.85546875" style="245" customWidth="1"/>
    <col min="7200" max="7200" width="5.28515625" style="245" customWidth="1"/>
    <col min="7201" max="7201" width="16.7109375" style="245" customWidth="1"/>
    <col min="7202" max="7202" width="5.28515625" style="245" customWidth="1"/>
    <col min="7203" max="7203" width="14.42578125" style="245" customWidth="1"/>
    <col min="7204" max="7204" width="1.85546875" style="245" customWidth="1"/>
    <col min="7205" max="7205" width="16.7109375" style="245" customWidth="1"/>
    <col min="7206" max="7415" width="11" style="245"/>
    <col min="7416" max="7416" width="7.5703125" style="245" customWidth="1"/>
    <col min="7417" max="7417" width="15.5703125" style="245" customWidth="1"/>
    <col min="7418" max="7418" width="20.140625" style="245" customWidth="1"/>
    <col min="7419" max="7419" width="2.28515625" style="245" customWidth="1"/>
    <col min="7420" max="7420" width="17.42578125" style="245" customWidth="1"/>
    <col min="7421" max="7421" width="1.85546875" style="245" customWidth="1"/>
    <col min="7422" max="7422" width="18.7109375" style="245" customWidth="1"/>
    <col min="7423" max="7423" width="1.85546875" style="245" customWidth="1"/>
    <col min="7424" max="7424" width="23" style="245" customWidth="1"/>
    <col min="7425" max="7425" width="1.85546875" style="245" customWidth="1"/>
    <col min="7426" max="7426" width="17.42578125" style="245" customWidth="1"/>
    <col min="7427" max="7427" width="3" style="245" customWidth="1"/>
    <col min="7428" max="7428" width="16.28515625" style="245" customWidth="1"/>
    <col min="7429" max="7429" width="3" style="245" customWidth="1"/>
    <col min="7430" max="7430" width="14.140625" style="245" customWidth="1"/>
    <col min="7431" max="7431" width="2" style="245" customWidth="1"/>
    <col min="7432" max="7432" width="15.85546875" style="245" customWidth="1"/>
    <col min="7433" max="7433" width="3.140625" style="245" customWidth="1"/>
    <col min="7434" max="7434" width="17.85546875" style="245" customWidth="1"/>
    <col min="7435" max="7435" width="2.5703125" style="245" customWidth="1"/>
    <col min="7436" max="7436" width="15.5703125" style="245" customWidth="1"/>
    <col min="7437" max="7437" width="1.85546875" style="245" customWidth="1"/>
    <col min="7438" max="7438" width="14.140625" style="245" customWidth="1"/>
    <col min="7439" max="7439" width="11" style="245" customWidth="1"/>
    <col min="7440" max="7441" width="25" style="245" customWidth="1"/>
    <col min="7442" max="7442" width="1.85546875" style="245" customWidth="1"/>
    <col min="7443" max="7443" width="17.85546875" style="245" customWidth="1"/>
    <col min="7444" max="7444" width="1.85546875" style="245" customWidth="1"/>
    <col min="7445" max="7445" width="19" style="245" customWidth="1"/>
    <col min="7446" max="7446" width="1.85546875" style="245" customWidth="1"/>
    <col min="7447" max="7447" width="16.7109375" style="245" customWidth="1"/>
    <col min="7448" max="7448" width="1.85546875" style="245" customWidth="1"/>
    <col min="7449" max="7449" width="16.7109375" style="245" customWidth="1"/>
    <col min="7450" max="7450" width="1.85546875" style="245" customWidth="1"/>
    <col min="7451" max="7451" width="16.7109375" style="245" customWidth="1"/>
    <col min="7452" max="7452" width="1.85546875" style="245" customWidth="1"/>
    <col min="7453" max="7453" width="16.7109375" style="245" customWidth="1"/>
    <col min="7454" max="7454" width="1.85546875" style="245" customWidth="1"/>
    <col min="7455" max="7455" width="17.85546875" style="245" customWidth="1"/>
    <col min="7456" max="7456" width="5.28515625" style="245" customWidth="1"/>
    <col min="7457" max="7457" width="16.7109375" style="245" customWidth="1"/>
    <col min="7458" max="7458" width="5.28515625" style="245" customWidth="1"/>
    <col min="7459" max="7459" width="14.42578125" style="245" customWidth="1"/>
    <col min="7460" max="7460" width="1.85546875" style="245" customWidth="1"/>
    <col min="7461" max="7461" width="16.7109375" style="245" customWidth="1"/>
    <col min="7462" max="7671" width="11" style="245"/>
    <col min="7672" max="7672" width="7.5703125" style="245" customWidth="1"/>
    <col min="7673" max="7673" width="15.5703125" style="245" customWidth="1"/>
    <col min="7674" max="7674" width="20.140625" style="245" customWidth="1"/>
    <col min="7675" max="7675" width="2.28515625" style="245" customWidth="1"/>
    <col min="7676" max="7676" width="17.42578125" style="245" customWidth="1"/>
    <col min="7677" max="7677" width="1.85546875" style="245" customWidth="1"/>
    <col min="7678" max="7678" width="18.7109375" style="245" customWidth="1"/>
    <col min="7679" max="7679" width="1.85546875" style="245" customWidth="1"/>
    <col min="7680" max="7680" width="23" style="245" customWidth="1"/>
    <col min="7681" max="7681" width="1.85546875" style="245" customWidth="1"/>
    <col min="7682" max="7682" width="17.42578125" style="245" customWidth="1"/>
    <col min="7683" max="7683" width="3" style="245" customWidth="1"/>
    <col min="7684" max="7684" width="16.28515625" style="245" customWidth="1"/>
    <col min="7685" max="7685" width="3" style="245" customWidth="1"/>
    <col min="7686" max="7686" width="14.140625" style="245" customWidth="1"/>
    <col min="7687" max="7687" width="2" style="245" customWidth="1"/>
    <col min="7688" max="7688" width="15.85546875" style="245" customWidth="1"/>
    <col min="7689" max="7689" width="3.140625" style="245" customWidth="1"/>
    <col min="7690" max="7690" width="17.85546875" style="245" customWidth="1"/>
    <col min="7691" max="7691" width="2.5703125" style="245" customWidth="1"/>
    <col min="7692" max="7692" width="15.5703125" style="245" customWidth="1"/>
    <col min="7693" max="7693" width="1.85546875" style="245" customWidth="1"/>
    <col min="7694" max="7694" width="14.140625" style="245" customWidth="1"/>
    <col min="7695" max="7695" width="11" style="245" customWidth="1"/>
    <col min="7696" max="7697" width="25" style="245" customWidth="1"/>
    <col min="7698" max="7698" width="1.85546875" style="245" customWidth="1"/>
    <col min="7699" max="7699" width="17.85546875" style="245" customWidth="1"/>
    <col min="7700" max="7700" width="1.85546875" style="245" customWidth="1"/>
    <col min="7701" max="7701" width="19" style="245" customWidth="1"/>
    <col min="7702" max="7702" width="1.85546875" style="245" customWidth="1"/>
    <col min="7703" max="7703" width="16.7109375" style="245" customWidth="1"/>
    <col min="7704" max="7704" width="1.85546875" style="245" customWidth="1"/>
    <col min="7705" max="7705" width="16.7109375" style="245" customWidth="1"/>
    <col min="7706" max="7706" width="1.85546875" style="245" customWidth="1"/>
    <col min="7707" max="7707" width="16.7109375" style="245" customWidth="1"/>
    <col min="7708" max="7708" width="1.85546875" style="245" customWidth="1"/>
    <col min="7709" max="7709" width="16.7109375" style="245" customWidth="1"/>
    <col min="7710" max="7710" width="1.85546875" style="245" customWidth="1"/>
    <col min="7711" max="7711" width="17.85546875" style="245" customWidth="1"/>
    <col min="7712" max="7712" width="5.28515625" style="245" customWidth="1"/>
    <col min="7713" max="7713" width="16.7109375" style="245" customWidth="1"/>
    <col min="7714" max="7714" width="5.28515625" style="245" customWidth="1"/>
    <col min="7715" max="7715" width="14.42578125" style="245" customWidth="1"/>
    <col min="7716" max="7716" width="1.85546875" style="245" customWidth="1"/>
    <col min="7717" max="7717" width="16.7109375" style="245" customWidth="1"/>
    <col min="7718" max="7927" width="11" style="245"/>
    <col min="7928" max="7928" width="7.5703125" style="245" customWidth="1"/>
    <col min="7929" max="7929" width="15.5703125" style="245" customWidth="1"/>
    <col min="7930" max="7930" width="20.140625" style="245" customWidth="1"/>
    <col min="7931" max="7931" width="2.28515625" style="245" customWidth="1"/>
    <col min="7932" max="7932" width="17.42578125" style="245" customWidth="1"/>
    <col min="7933" max="7933" width="1.85546875" style="245" customWidth="1"/>
    <col min="7934" max="7934" width="18.7109375" style="245" customWidth="1"/>
    <col min="7935" max="7935" width="1.85546875" style="245" customWidth="1"/>
    <col min="7936" max="7936" width="23" style="245" customWidth="1"/>
    <col min="7937" max="7937" width="1.85546875" style="245" customWidth="1"/>
    <col min="7938" max="7938" width="17.42578125" style="245" customWidth="1"/>
    <col min="7939" max="7939" width="3" style="245" customWidth="1"/>
    <col min="7940" max="7940" width="16.28515625" style="245" customWidth="1"/>
    <col min="7941" max="7941" width="3" style="245" customWidth="1"/>
    <col min="7942" max="7942" width="14.140625" style="245" customWidth="1"/>
    <col min="7943" max="7943" width="2" style="245" customWidth="1"/>
    <col min="7944" max="7944" width="15.85546875" style="245" customWidth="1"/>
    <col min="7945" max="7945" width="3.140625" style="245" customWidth="1"/>
    <col min="7946" max="7946" width="17.85546875" style="245" customWidth="1"/>
    <col min="7947" max="7947" width="2.5703125" style="245" customWidth="1"/>
    <col min="7948" max="7948" width="15.5703125" style="245" customWidth="1"/>
    <col min="7949" max="7949" width="1.85546875" style="245" customWidth="1"/>
    <col min="7950" max="7950" width="14.140625" style="245" customWidth="1"/>
    <col min="7951" max="7951" width="11" style="245" customWidth="1"/>
    <col min="7952" max="7953" width="25" style="245" customWidth="1"/>
    <col min="7954" max="7954" width="1.85546875" style="245" customWidth="1"/>
    <col min="7955" max="7955" width="17.85546875" style="245" customWidth="1"/>
    <col min="7956" max="7956" width="1.85546875" style="245" customWidth="1"/>
    <col min="7957" max="7957" width="19" style="245" customWidth="1"/>
    <col min="7958" max="7958" width="1.85546875" style="245" customWidth="1"/>
    <col min="7959" max="7959" width="16.7109375" style="245" customWidth="1"/>
    <col min="7960" max="7960" width="1.85546875" style="245" customWidth="1"/>
    <col min="7961" max="7961" width="16.7109375" style="245" customWidth="1"/>
    <col min="7962" max="7962" width="1.85546875" style="245" customWidth="1"/>
    <col min="7963" max="7963" width="16.7109375" style="245" customWidth="1"/>
    <col min="7964" max="7964" width="1.85546875" style="245" customWidth="1"/>
    <col min="7965" max="7965" width="16.7109375" style="245" customWidth="1"/>
    <col min="7966" max="7966" width="1.85546875" style="245" customWidth="1"/>
    <col min="7967" max="7967" width="17.85546875" style="245" customWidth="1"/>
    <col min="7968" max="7968" width="5.28515625" style="245" customWidth="1"/>
    <col min="7969" max="7969" width="16.7109375" style="245" customWidth="1"/>
    <col min="7970" max="7970" width="5.28515625" style="245" customWidth="1"/>
    <col min="7971" max="7971" width="14.42578125" style="245" customWidth="1"/>
    <col min="7972" max="7972" width="1.85546875" style="245" customWidth="1"/>
    <col min="7973" max="7973" width="16.7109375" style="245" customWidth="1"/>
    <col min="7974" max="8183" width="11" style="245"/>
    <col min="8184" max="8184" width="7.5703125" style="245" customWidth="1"/>
    <col min="8185" max="8185" width="15.5703125" style="245" customWidth="1"/>
    <col min="8186" max="8186" width="20.140625" style="245" customWidth="1"/>
    <col min="8187" max="8187" width="2.28515625" style="245" customWidth="1"/>
    <col min="8188" max="8188" width="17.42578125" style="245" customWidth="1"/>
    <col min="8189" max="8189" width="1.85546875" style="245" customWidth="1"/>
    <col min="8190" max="8190" width="18.7109375" style="245" customWidth="1"/>
    <col min="8191" max="8191" width="1.85546875" style="245" customWidth="1"/>
    <col min="8192" max="8192" width="23" style="245" customWidth="1"/>
    <col min="8193" max="8193" width="1.85546875" style="245" customWidth="1"/>
    <col min="8194" max="8194" width="17.42578125" style="245" customWidth="1"/>
    <col min="8195" max="8195" width="3" style="245" customWidth="1"/>
    <col min="8196" max="8196" width="16.28515625" style="245" customWidth="1"/>
    <col min="8197" max="8197" width="3" style="245" customWidth="1"/>
    <col min="8198" max="8198" width="14.140625" style="245" customWidth="1"/>
    <col min="8199" max="8199" width="2" style="245" customWidth="1"/>
    <col min="8200" max="8200" width="15.85546875" style="245" customWidth="1"/>
    <col min="8201" max="8201" width="3.140625" style="245" customWidth="1"/>
    <col min="8202" max="8202" width="17.85546875" style="245" customWidth="1"/>
    <col min="8203" max="8203" width="2.5703125" style="245" customWidth="1"/>
    <col min="8204" max="8204" width="15.5703125" style="245" customWidth="1"/>
    <col min="8205" max="8205" width="1.85546875" style="245" customWidth="1"/>
    <col min="8206" max="8206" width="14.140625" style="245" customWidth="1"/>
    <col min="8207" max="8207" width="11" style="245" customWidth="1"/>
    <col min="8208" max="8209" width="25" style="245" customWidth="1"/>
    <col min="8210" max="8210" width="1.85546875" style="245" customWidth="1"/>
    <col min="8211" max="8211" width="17.85546875" style="245" customWidth="1"/>
    <col min="8212" max="8212" width="1.85546875" style="245" customWidth="1"/>
    <col min="8213" max="8213" width="19" style="245" customWidth="1"/>
    <col min="8214" max="8214" width="1.85546875" style="245" customWidth="1"/>
    <col min="8215" max="8215" width="16.7109375" style="245" customWidth="1"/>
    <col min="8216" max="8216" width="1.85546875" style="245" customWidth="1"/>
    <col min="8217" max="8217" width="16.7109375" style="245" customWidth="1"/>
    <col min="8218" max="8218" width="1.85546875" style="245" customWidth="1"/>
    <col min="8219" max="8219" width="16.7109375" style="245" customWidth="1"/>
    <col min="8220" max="8220" width="1.85546875" style="245" customWidth="1"/>
    <col min="8221" max="8221" width="16.7109375" style="245" customWidth="1"/>
    <col min="8222" max="8222" width="1.85546875" style="245" customWidth="1"/>
    <col min="8223" max="8223" width="17.85546875" style="245" customWidth="1"/>
    <col min="8224" max="8224" width="5.28515625" style="245" customWidth="1"/>
    <col min="8225" max="8225" width="16.7109375" style="245" customWidth="1"/>
    <col min="8226" max="8226" width="5.28515625" style="245" customWidth="1"/>
    <col min="8227" max="8227" width="14.42578125" style="245" customWidth="1"/>
    <col min="8228" max="8228" width="1.85546875" style="245" customWidth="1"/>
    <col min="8229" max="8229" width="16.7109375" style="245" customWidth="1"/>
    <col min="8230" max="8439" width="11" style="245"/>
    <col min="8440" max="8440" width="7.5703125" style="245" customWidth="1"/>
    <col min="8441" max="8441" width="15.5703125" style="245" customWidth="1"/>
    <col min="8442" max="8442" width="20.140625" style="245" customWidth="1"/>
    <col min="8443" max="8443" width="2.28515625" style="245" customWidth="1"/>
    <col min="8444" max="8444" width="17.42578125" style="245" customWidth="1"/>
    <col min="8445" max="8445" width="1.85546875" style="245" customWidth="1"/>
    <col min="8446" max="8446" width="18.7109375" style="245" customWidth="1"/>
    <col min="8447" max="8447" width="1.85546875" style="245" customWidth="1"/>
    <col min="8448" max="8448" width="23" style="245" customWidth="1"/>
    <col min="8449" max="8449" width="1.85546875" style="245" customWidth="1"/>
    <col min="8450" max="8450" width="17.42578125" style="245" customWidth="1"/>
    <col min="8451" max="8451" width="3" style="245" customWidth="1"/>
    <col min="8452" max="8452" width="16.28515625" style="245" customWidth="1"/>
    <col min="8453" max="8453" width="3" style="245" customWidth="1"/>
    <col min="8454" max="8454" width="14.140625" style="245" customWidth="1"/>
    <col min="8455" max="8455" width="2" style="245" customWidth="1"/>
    <col min="8456" max="8456" width="15.85546875" style="245" customWidth="1"/>
    <col min="8457" max="8457" width="3.140625" style="245" customWidth="1"/>
    <col min="8458" max="8458" width="17.85546875" style="245" customWidth="1"/>
    <col min="8459" max="8459" width="2.5703125" style="245" customWidth="1"/>
    <col min="8460" max="8460" width="15.5703125" style="245" customWidth="1"/>
    <col min="8461" max="8461" width="1.85546875" style="245" customWidth="1"/>
    <col min="8462" max="8462" width="14.140625" style="245" customWidth="1"/>
    <col min="8463" max="8463" width="11" style="245" customWidth="1"/>
    <col min="8464" max="8465" width="25" style="245" customWidth="1"/>
    <col min="8466" max="8466" width="1.85546875" style="245" customWidth="1"/>
    <col min="8467" max="8467" width="17.85546875" style="245" customWidth="1"/>
    <col min="8468" max="8468" width="1.85546875" style="245" customWidth="1"/>
    <col min="8469" max="8469" width="19" style="245" customWidth="1"/>
    <col min="8470" max="8470" width="1.85546875" style="245" customWidth="1"/>
    <col min="8471" max="8471" width="16.7109375" style="245" customWidth="1"/>
    <col min="8472" max="8472" width="1.85546875" style="245" customWidth="1"/>
    <col min="8473" max="8473" width="16.7109375" style="245" customWidth="1"/>
    <col min="8474" max="8474" width="1.85546875" style="245" customWidth="1"/>
    <col min="8475" max="8475" width="16.7109375" style="245" customWidth="1"/>
    <col min="8476" max="8476" width="1.85546875" style="245" customWidth="1"/>
    <col min="8477" max="8477" width="16.7109375" style="245" customWidth="1"/>
    <col min="8478" max="8478" width="1.85546875" style="245" customWidth="1"/>
    <col min="8479" max="8479" width="17.85546875" style="245" customWidth="1"/>
    <col min="8480" max="8480" width="5.28515625" style="245" customWidth="1"/>
    <col min="8481" max="8481" width="16.7109375" style="245" customWidth="1"/>
    <col min="8482" max="8482" width="5.28515625" style="245" customWidth="1"/>
    <col min="8483" max="8483" width="14.42578125" style="245" customWidth="1"/>
    <col min="8484" max="8484" width="1.85546875" style="245" customWidth="1"/>
    <col min="8485" max="8485" width="16.7109375" style="245" customWidth="1"/>
    <col min="8486" max="8695" width="11" style="245"/>
    <col min="8696" max="8696" width="7.5703125" style="245" customWidth="1"/>
    <col min="8697" max="8697" width="15.5703125" style="245" customWidth="1"/>
    <col min="8698" max="8698" width="20.140625" style="245" customWidth="1"/>
    <col min="8699" max="8699" width="2.28515625" style="245" customWidth="1"/>
    <col min="8700" max="8700" width="17.42578125" style="245" customWidth="1"/>
    <col min="8701" max="8701" width="1.85546875" style="245" customWidth="1"/>
    <col min="8702" max="8702" width="18.7109375" style="245" customWidth="1"/>
    <col min="8703" max="8703" width="1.85546875" style="245" customWidth="1"/>
    <col min="8704" max="8704" width="23" style="245" customWidth="1"/>
    <col min="8705" max="8705" width="1.85546875" style="245" customWidth="1"/>
    <col min="8706" max="8706" width="17.42578125" style="245" customWidth="1"/>
    <col min="8707" max="8707" width="3" style="245" customWidth="1"/>
    <col min="8708" max="8708" width="16.28515625" style="245" customWidth="1"/>
    <col min="8709" max="8709" width="3" style="245" customWidth="1"/>
    <col min="8710" max="8710" width="14.140625" style="245" customWidth="1"/>
    <col min="8711" max="8711" width="2" style="245" customWidth="1"/>
    <col min="8712" max="8712" width="15.85546875" style="245" customWidth="1"/>
    <col min="8713" max="8713" width="3.140625" style="245" customWidth="1"/>
    <col min="8714" max="8714" width="17.85546875" style="245" customWidth="1"/>
    <col min="8715" max="8715" width="2.5703125" style="245" customWidth="1"/>
    <col min="8716" max="8716" width="15.5703125" style="245" customWidth="1"/>
    <col min="8717" max="8717" width="1.85546875" style="245" customWidth="1"/>
    <col min="8718" max="8718" width="14.140625" style="245" customWidth="1"/>
    <col min="8719" max="8719" width="11" style="245" customWidth="1"/>
    <col min="8720" max="8721" width="25" style="245" customWidth="1"/>
    <col min="8722" max="8722" width="1.85546875" style="245" customWidth="1"/>
    <col min="8723" max="8723" width="17.85546875" style="245" customWidth="1"/>
    <col min="8724" max="8724" width="1.85546875" style="245" customWidth="1"/>
    <col min="8725" max="8725" width="19" style="245" customWidth="1"/>
    <col min="8726" max="8726" width="1.85546875" style="245" customWidth="1"/>
    <col min="8727" max="8727" width="16.7109375" style="245" customWidth="1"/>
    <col min="8728" max="8728" width="1.85546875" style="245" customWidth="1"/>
    <col min="8729" max="8729" width="16.7109375" style="245" customWidth="1"/>
    <col min="8730" max="8730" width="1.85546875" style="245" customWidth="1"/>
    <col min="8731" max="8731" width="16.7109375" style="245" customWidth="1"/>
    <col min="8732" max="8732" width="1.85546875" style="245" customWidth="1"/>
    <col min="8733" max="8733" width="16.7109375" style="245" customWidth="1"/>
    <col min="8734" max="8734" width="1.85546875" style="245" customWidth="1"/>
    <col min="8735" max="8735" width="17.85546875" style="245" customWidth="1"/>
    <col min="8736" max="8736" width="5.28515625" style="245" customWidth="1"/>
    <col min="8737" max="8737" width="16.7109375" style="245" customWidth="1"/>
    <col min="8738" max="8738" width="5.28515625" style="245" customWidth="1"/>
    <col min="8739" max="8739" width="14.42578125" style="245" customWidth="1"/>
    <col min="8740" max="8740" width="1.85546875" style="245" customWidth="1"/>
    <col min="8741" max="8741" width="16.7109375" style="245" customWidth="1"/>
    <col min="8742" max="8951" width="11" style="245"/>
    <col min="8952" max="8952" width="7.5703125" style="245" customWidth="1"/>
    <col min="8953" max="8953" width="15.5703125" style="245" customWidth="1"/>
    <col min="8954" max="8954" width="20.140625" style="245" customWidth="1"/>
    <col min="8955" max="8955" width="2.28515625" style="245" customWidth="1"/>
    <col min="8956" max="8956" width="17.42578125" style="245" customWidth="1"/>
    <col min="8957" max="8957" width="1.85546875" style="245" customWidth="1"/>
    <col min="8958" max="8958" width="18.7109375" style="245" customWidth="1"/>
    <col min="8959" max="8959" width="1.85546875" style="245" customWidth="1"/>
    <col min="8960" max="8960" width="23" style="245" customWidth="1"/>
    <col min="8961" max="8961" width="1.85546875" style="245" customWidth="1"/>
    <col min="8962" max="8962" width="17.42578125" style="245" customWidth="1"/>
    <col min="8963" max="8963" width="3" style="245" customWidth="1"/>
    <col min="8964" max="8964" width="16.28515625" style="245" customWidth="1"/>
    <col min="8965" max="8965" width="3" style="245" customWidth="1"/>
    <col min="8966" max="8966" width="14.140625" style="245" customWidth="1"/>
    <col min="8967" max="8967" width="2" style="245" customWidth="1"/>
    <col min="8968" max="8968" width="15.85546875" style="245" customWidth="1"/>
    <col min="8969" max="8969" width="3.140625" style="245" customWidth="1"/>
    <col min="8970" max="8970" width="17.85546875" style="245" customWidth="1"/>
    <col min="8971" max="8971" width="2.5703125" style="245" customWidth="1"/>
    <col min="8972" max="8972" width="15.5703125" style="245" customWidth="1"/>
    <col min="8973" max="8973" width="1.85546875" style="245" customWidth="1"/>
    <col min="8974" max="8974" width="14.140625" style="245" customWidth="1"/>
    <col min="8975" max="8975" width="11" style="245" customWidth="1"/>
    <col min="8976" max="8977" width="25" style="245" customWidth="1"/>
    <col min="8978" max="8978" width="1.85546875" style="245" customWidth="1"/>
    <col min="8979" max="8979" width="17.85546875" style="245" customWidth="1"/>
    <col min="8980" max="8980" width="1.85546875" style="245" customWidth="1"/>
    <col min="8981" max="8981" width="19" style="245" customWidth="1"/>
    <col min="8982" max="8982" width="1.85546875" style="245" customWidth="1"/>
    <col min="8983" max="8983" width="16.7109375" style="245" customWidth="1"/>
    <col min="8984" max="8984" width="1.85546875" style="245" customWidth="1"/>
    <col min="8985" max="8985" width="16.7109375" style="245" customWidth="1"/>
    <col min="8986" max="8986" width="1.85546875" style="245" customWidth="1"/>
    <col min="8987" max="8987" width="16.7109375" style="245" customWidth="1"/>
    <col min="8988" max="8988" width="1.85546875" style="245" customWidth="1"/>
    <col min="8989" max="8989" width="16.7109375" style="245" customWidth="1"/>
    <col min="8990" max="8990" width="1.85546875" style="245" customWidth="1"/>
    <col min="8991" max="8991" width="17.85546875" style="245" customWidth="1"/>
    <col min="8992" max="8992" width="5.28515625" style="245" customWidth="1"/>
    <col min="8993" max="8993" width="16.7109375" style="245" customWidth="1"/>
    <col min="8994" max="8994" width="5.28515625" style="245" customWidth="1"/>
    <col min="8995" max="8995" width="14.42578125" style="245" customWidth="1"/>
    <col min="8996" max="8996" width="1.85546875" style="245" customWidth="1"/>
    <col min="8997" max="8997" width="16.7109375" style="245" customWidth="1"/>
    <col min="8998" max="9207" width="11" style="245"/>
    <col min="9208" max="9208" width="7.5703125" style="245" customWidth="1"/>
    <col min="9209" max="9209" width="15.5703125" style="245" customWidth="1"/>
    <col min="9210" max="9210" width="20.140625" style="245" customWidth="1"/>
    <col min="9211" max="9211" width="2.28515625" style="245" customWidth="1"/>
    <col min="9212" max="9212" width="17.42578125" style="245" customWidth="1"/>
    <col min="9213" max="9213" width="1.85546875" style="245" customWidth="1"/>
    <col min="9214" max="9214" width="18.7109375" style="245" customWidth="1"/>
    <col min="9215" max="9215" width="1.85546875" style="245" customWidth="1"/>
    <col min="9216" max="9216" width="23" style="245" customWidth="1"/>
    <col min="9217" max="9217" width="1.85546875" style="245" customWidth="1"/>
    <col min="9218" max="9218" width="17.42578125" style="245" customWidth="1"/>
    <col min="9219" max="9219" width="3" style="245" customWidth="1"/>
    <col min="9220" max="9220" width="16.28515625" style="245" customWidth="1"/>
    <col min="9221" max="9221" width="3" style="245" customWidth="1"/>
    <col min="9222" max="9222" width="14.140625" style="245" customWidth="1"/>
    <col min="9223" max="9223" width="2" style="245" customWidth="1"/>
    <col min="9224" max="9224" width="15.85546875" style="245" customWidth="1"/>
    <col min="9225" max="9225" width="3.140625" style="245" customWidth="1"/>
    <col min="9226" max="9226" width="17.85546875" style="245" customWidth="1"/>
    <col min="9227" max="9227" width="2.5703125" style="245" customWidth="1"/>
    <col min="9228" max="9228" width="15.5703125" style="245" customWidth="1"/>
    <col min="9229" max="9229" width="1.85546875" style="245" customWidth="1"/>
    <col min="9230" max="9230" width="14.140625" style="245" customWidth="1"/>
    <col min="9231" max="9231" width="11" style="245" customWidth="1"/>
    <col min="9232" max="9233" width="25" style="245" customWidth="1"/>
    <col min="9234" max="9234" width="1.85546875" style="245" customWidth="1"/>
    <col min="9235" max="9235" width="17.85546875" style="245" customWidth="1"/>
    <col min="9236" max="9236" width="1.85546875" style="245" customWidth="1"/>
    <col min="9237" max="9237" width="19" style="245" customWidth="1"/>
    <col min="9238" max="9238" width="1.85546875" style="245" customWidth="1"/>
    <col min="9239" max="9239" width="16.7109375" style="245" customWidth="1"/>
    <col min="9240" max="9240" width="1.85546875" style="245" customWidth="1"/>
    <col min="9241" max="9241" width="16.7109375" style="245" customWidth="1"/>
    <col min="9242" max="9242" width="1.85546875" style="245" customWidth="1"/>
    <col min="9243" max="9243" width="16.7109375" style="245" customWidth="1"/>
    <col min="9244" max="9244" width="1.85546875" style="245" customWidth="1"/>
    <col min="9245" max="9245" width="16.7109375" style="245" customWidth="1"/>
    <col min="9246" max="9246" width="1.85546875" style="245" customWidth="1"/>
    <col min="9247" max="9247" width="17.85546875" style="245" customWidth="1"/>
    <col min="9248" max="9248" width="5.28515625" style="245" customWidth="1"/>
    <col min="9249" max="9249" width="16.7109375" style="245" customWidth="1"/>
    <col min="9250" max="9250" width="5.28515625" style="245" customWidth="1"/>
    <col min="9251" max="9251" width="14.42578125" style="245" customWidth="1"/>
    <col min="9252" max="9252" width="1.85546875" style="245" customWidth="1"/>
    <col min="9253" max="9253" width="16.7109375" style="245" customWidth="1"/>
    <col min="9254" max="9463" width="11" style="245"/>
    <col min="9464" max="9464" width="7.5703125" style="245" customWidth="1"/>
    <col min="9465" max="9465" width="15.5703125" style="245" customWidth="1"/>
    <col min="9466" max="9466" width="20.140625" style="245" customWidth="1"/>
    <col min="9467" max="9467" width="2.28515625" style="245" customWidth="1"/>
    <col min="9468" max="9468" width="17.42578125" style="245" customWidth="1"/>
    <col min="9469" max="9469" width="1.85546875" style="245" customWidth="1"/>
    <col min="9470" max="9470" width="18.7109375" style="245" customWidth="1"/>
    <col min="9471" max="9471" width="1.85546875" style="245" customWidth="1"/>
    <col min="9472" max="9472" width="23" style="245" customWidth="1"/>
    <col min="9473" max="9473" width="1.85546875" style="245" customWidth="1"/>
    <col min="9474" max="9474" width="17.42578125" style="245" customWidth="1"/>
    <col min="9475" max="9475" width="3" style="245" customWidth="1"/>
    <col min="9476" max="9476" width="16.28515625" style="245" customWidth="1"/>
    <col min="9477" max="9477" width="3" style="245" customWidth="1"/>
    <col min="9478" max="9478" width="14.140625" style="245" customWidth="1"/>
    <col min="9479" max="9479" width="2" style="245" customWidth="1"/>
    <col min="9480" max="9480" width="15.85546875" style="245" customWidth="1"/>
    <col min="9481" max="9481" width="3.140625" style="245" customWidth="1"/>
    <col min="9482" max="9482" width="17.85546875" style="245" customWidth="1"/>
    <col min="9483" max="9483" width="2.5703125" style="245" customWidth="1"/>
    <col min="9484" max="9484" width="15.5703125" style="245" customWidth="1"/>
    <col min="9485" max="9485" width="1.85546875" style="245" customWidth="1"/>
    <col min="9486" max="9486" width="14.140625" style="245" customWidth="1"/>
    <col min="9487" max="9487" width="11" style="245" customWidth="1"/>
    <col min="9488" max="9489" width="25" style="245" customWidth="1"/>
    <col min="9490" max="9490" width="1.85546875" style="245" customWidth="1"/>
    <col min="9491" max="9491" width="17.85546875" style="245" customWidth="1"/>
    <col min="9492" max="9492" width="1.85546875" style="245" customWidth="1"/>
    <col min="9493" max="9493" width="19" style="245" customWidth="1"/>
    <col min="9494" max="9494" width="1.85546875" style="245" customWidth="1"/>
    <col min="9495" max="9495" width="16.7109375" style="245" customWidth="1"/>
    <col min="9496" max="9496" width="1.85546875" style="245" customWidth="1"/>
    <col min="9497" max="9497" width="16.7109375" style="245" customWidth="1"/>
    <col min="9498" max="9498" width="1.85546875" style="245" customWidth="1"/>
    <col min="9499" max="9499" width="16.7109375" style="245" customWidth="1"/>
    <col min="9500" max="9500" width="1.85546875" style="245" customWidth="1"/>
    <col min="9501" max="9501" width="16.7109375" style="245" customWidth="1"/>
    <col min="9502" max="9502" width="1.85546875" style="245" customWidth="1"/>
    <col min="9503" max="9503" width="17.85546875" style="245" customWidth="1"/>
    <col min="9504" max="9504" width="5.28515625" style="245" customWidth="1"/>
    <col min="9505" max="9505" width="16.7109375" style="245" customWidth="1"/>
    <col min="9506" max="9506" width="5.28515625" style="245" customWidth="1"/>
    <col min="9507" max="9507" width="14.42578125" style="245" customWidth="1"/>
    <col min="9508" max="9508" width="1.85546875" style="245" customWidth="1"/>
    <col min="9509" max="9509" width="16.7109375" style="245" customWidth="1"/>
    <col min="9510" max="9719" width="11" style="245"/>
    <col min="9720" max="9720" width="7.5703125" style="245" customWidth="1"/>
    <col min="9721" max="9721" width="15.5703125" style="245" customWidth="1"/>
    <col min="9722" max="9722" width="20.140625" style="245" customWidth="1"/>
    <col min="9723" max="9723" width="2.28515625" style="245" customWidth="1"/>
    <col min="9724" max="9724" width="17.42578125" style="245" customWidth="1"/>
    <col min="9725" max="9725" width="1.85546875" style="245" customWidth="1"/>
    <col min="9726" max="9726" width="18.7109375" style="245" customWidth="1"/>
    <col min="9727" max="9727" width="1.85546875" style="245" customWidth="1"/>
    <col min="9728" max="9728" width="23" style="245" customWidth="1"/>
    <col min="9729" max="9729" width="1.85546875" style="245" customWidth="1"/>
    <col min="9730" max="9730" width="17.42578125" style="245" customWidth="1"/>
    <col min="9731" max="9731" width="3" style="245" customWidth="1"/>
    <col min="9732" max="9732" width="16.28515625" style="245" customWidth="1"/>
    <col min="9733" max="9733" width="3" style="245" customWidth="1"/>
    <col min="9734" max="9734" width="14.140625" style="245" customWidth="1"/>
    <col min="9735" max="9735" width="2" style="245" customWidth="1"/>
    <col min="9736" max="9736" width="15.85546875" style="245" customWidth="1"/>
    <col min="9737" max="9737" width="3.140625" style="245" customWidth="1"/>
    <col min="9738" max="9738" width="17.85546875" style="245" customWidth="1"/>
    <col min="9739" max="9739" width="2.5703125" style="245" customWidth="1"/>
    <col min="9740" max="9740" width="15.5703125" style="245" customWidth="1"/>
    <col min="9741" max="9741" width="1.85546875" style="245" customWidth="1"/>
    <col min="9742" max="9742" width="14.140625" style="245" customWidth="1"/>
    <col min="9743" max="9743" width="11" style="245" customWidth="1"/>
    <col min="9744" max="9745" width="25" style="245" customWidth="1"/>
    <col min="9746" max="9746" width="1.85546875" style="245" customWidth="1"/>
    <col min="9747" max="9747" width="17.85546875" style="245" customWidth="1"/>
    <col min="9748" max="9748" width="1.85546875" style="245" customWidth="1"/>
    <col min="9749" max="9749" width="19" style="245" customWidth="1"/>
    <col min="9750" max="9750" width="1.85546875" style="245" customWidth="1"/>
    <col min="9751" max="9751" width="16.7109375" style="245" customWidth="1"/>
    <col min="9752" max="9752" width="1.85546875" style="245" customWidth="1"/>
    <col min="9753" max="9753" width="16.7109375" style="245" customWidth="1"/>
    <col min="9754" max="9754" width="1.85546875" style="245" customWidth="1"/>
    <col min="9755" max="9755" width="16.7109375" style="245" customWidth="1"/>
    <col min="9756" max="9756" width="1.85546875" style="245" customWidth="1"/>
    <col min="9757" max="9757" width="16.7109375" style="245" customWidth="1"/>
    <col min="9758" max="9758" width="1.85546875" style="245" customWidth="1"/>
    <col min="9759" max="9759" width="17.85546875" style="245" customWidth="1"/>
    <col min="9760" max="9760" width="5.28515625" style="245" customWidth="1"/>
    <col min="9761" max="9761" width="16.7109375" style="245" customWidth="1"/>
    <col min="9762" max="9762" width="5.28515625" style="245" customWidth="1"/>
    <col min="9763" max="9763" width="14.42578125" style="245" customWidth="1"/>
    <col min="9764" max="9764" width="1.85546875" style="245" customWidth="1"/>
    <col min="9765" max="9765" width="16.7109375" style="245" customWidth="1"/>
    <col min="9766" max="9975" width="11" style="245"/>
    <col min="9976" max="9976" width="7.5703125" style="245" customWidth="1"/>
    <col min="9977" max="9977" width="15.5703125" style="245" customWidth="1"/>
    <col min="9978" max="9978" width="20.140625" style="245" customWidth="1"/>
    <col min="9979" max="9979" width="2.28515625" style="245" customWidth="1"/>
    <col min="9980" max="9980" width="17.42578125" style="245" customWidth="1"/>
    <col min="9981" max="9981" width="1.85546875" style="245" customWidth="1"/>
    <col min="9982" max="9982" width="18.7109375" style="245" customWidth="1"/>
    <col min="9983" max="9983" width="1.85546875" style="245" customWidth="1"/>
    <col min="9984" max="9984" width="23" style="245" customWidth="1"/>
    <col min="9985" max="9985" width="1.85546875" style="245" customWidth="1"/>
    <col min="9986" max="9986" width="17.42578125" style="245" customWidth="1"/>
    <col min="9987" max="9987" width="3" style="245" customWidth="1"/>
    <col min="9988" max="9988" width="16.28515625" style="245" customWidth="1"/>
    <col min="9989" max="9989" width="3" style="245" customWidth="1"/>
    <col min="9990" max="9990" width="14.140625" style="245" customWidth="1"/>
    <col min="9991" max="9991" width="2" style="245" customWidth="1"/>
    <col min="9992" max="9992" width="15.85546875" style="245" customWidth="1"/>
    <col min="9993" max="9993" width="3.140625" style="245" customWidth="1"/>
    <col min="9994" max="9994" width="17.85546875" style="245" customWidth="1"/>
    <col min="9995" max="9995" width="2.5703125" style="245" customWidth="1"/>
    <col min="9996" max="9996" width="15.5703125" style="245" customWidth="1"/>
    <col min="9997" max="9997" width="1.85546875" style="245" customWidth="1"/>
    <col min="9998" max="9998" width="14.140625" style="245" customWidth="1"/>
    <col min="9999" max="9999" width="11" style="245" customWidth="1"/>
    <col min="10000" max="10001" width="25" style="245" customWidth="1"/>
    <col min="10002" max="10002" width="1.85546875" style="245" customWidth="1"/>
    <col min="10003" max="10003" width="17.85546875" style="245" customWidth="1"/>
    <col min="10004" max="10004" width="1.85546875" style="245" customWidth="1"/>
    <col min="10005" max="10005" width="19" style="245" customWidth="1"/>
    <col min="10006" max="10006" width="1.85546875" style="245" customWidth="1"/>
    <col min="10007" max="10007" width="16.7109375" style="245" customWidth="1"/>
    <col min="10008" max="10008" width="1.85546875" style="245" customWidth="1"/>
    <col min="10009" max="10009" width="16.7109375" style="245" customWidth="1"/>
    <col min="10010" max="10010" width="1.85546875" style="245" customWidth="1"/>
    <col min="10011" max="10011" width="16.7109375" style="245" customWidth="1"/>
    <col min="10012" max="10012" width="1.85546875" style="245" customWidth="1"/>
    <col min="10013" max="10013" width="16.7109375" style="245" customWidth="1"/>
    <col min="10014" max="10014" width="1.85546875" style="245" customWidth="1"/>
    <col min="10015" max="10015" width="17.85546875" style="245" customWidth="1"/>
    <col min="10016" max="10016" width="5.28515625" style="245" customWidth="1"/>
    <col min="10017" max="10017" width="16.7109375" style="245" customWidth="1"/>
    <col min="10018" max="10018" width="5.28515625" style="245" customWidth="1"/>
    <col min="10019" max="10019" width="14.42578125" style="245" customWidth="1"/>
    <col min="10020" max="10020" width="1.85546875" style="245" customWidth="1"/>
    <col min="10021" max="10021" width="16.7109375" style="245" customWidth="1"/>
    <col min="10022" max="10231" width="11" style="245"/>
    <col min="10232" max="10232" width="7.5703125" style="245" customWidth="1"/>
    <col min="10233" max="10233" width="15.5703125" style="245" customWidth="1"/>
    <col min="10234" max="10234" width="20.140625" style="245" customWidth="1"/>
    <col min="10235" max="10235" width="2.28515625" style="245" customWidth="1"/>
    <col min="10236" max="10236" width="17.42578125" style="245" customWidth="1"/>
    <col min="10237" max="10237" width="1.85546875" style="245" customWidth="1"/>
    <col min="10238" max="10238" width="18.7109375" style="245" customWidth="1"/>
    <col min="10239" max="10239" width="1.85546875" style="245" customWidth="1"/>
    <col min="10240" max="10240" width="23" style="245" customWidth="1"/>
    <col min="10241" max="10241" width="1.85546875" style="245" customWidth="1"/>
    <col min="10242" max="10242" width="17.42578125" style="245" customWidth="1"/>
    <col min="10243" max="10243" width="3" style="245" customWidth="1"/>
    <col min="10244" max="10244" width="16.28515625" style="245" customWidth="1"/>
    <col min="10245" max="10245" width="3" style="245" customWidth="1"/>
    <col min="10246" max="10246" width="14.140625" style="245" customWidth="1"/>
    <col min="10247" max="10247" width="2" style="245" customWidth="1"/>
    <col min="10248" max="10248" width="15.85546875" style="245" customWidth="1"/>
    <col min="10249" max="10249" width="3.140625" style="245" customWidth="1"/>
    <col min="10250" max="10250" width="17.85546875" style="245" customWidth="1"/>
    <col min="10251" max="10251" width="2.5703125" style="245" customWidth="1"/>
    <col min="10252" max="10252" width="15.5703125" style="245" customWidth="1"/>
    <col min="10253" max="10253" width="1.85546875" style="245" customWidth="1"/>
    <col min="10254" max="10254" width="14.140625" style="245" customWidth="1"/>
    <col min="10255" max="10255" width="11" style="245" customWidth="1"/>
    <col min="10256" max="10257" width="25" style="245" customWidth="1"/>
    <col min="10258" max="10258" width="1.85546875" style="245" customWidth="1"/>
    <col min="10259" max="10259" width="17.85546875" style="245" customWidth="1"/>
    <col min="10260" max="10260" width="1.85546875" style="245" customWidth="1"/>
    <col min="10261" max="10261" width="19" style="245" customWidth="1"/>
    <col min="10262" max="10262" width="1.85546875" style="245" customWidth="1"/>
    <col min="10263" max="10263" width="16.7109375" style="245" customWidth="1"/>
    <col min="10264" max="10264" width="1.85546875" style="245" customWidth="1"/>
    <col min="10265" max="10265" width="16.7109375" style="245" customWidth="1"/>
    <col min="10266" max="10266" width="1.85546875" style="245" customWidth="1"/>
    <col min="10267" max="10267" width="16.7109375" style="245" customWidth="1"/>
    <col min="10268" max="10268" width="1.85546875" style="245" customWidth="1"/>
    <col min="10269" max="10269" width="16.7109375" style="245" customWidth="1"/>
    <col min="10270" max="10270" width="1.85546875" style="245" customWidth="1"/>
    <col min="10271" max="10271" width="17.85546875" style="245" customWidth="1"/>
    <col min="10272" max="10272" width="5.28515625" style="245" customWidth="1"/>
    <col min="10273" max="10273" width="16.7109375" style="245" customWidth="1"/>
    <col min="10274" max="10274" width="5.28515625" style="245" customWidth="1"/>
    <col min="10275" max="10275" width="14.42578125" style="245" customWidth="1"/>
    <col min="10276" max="10276" width="1.85546875" style="245" customWidth="1"/>
    <col min="10277" max="10277" width="16.7109375" style="245" customWidth="1"/>
    <col min="10278" max="10487" width="11" style="245"/>
    <col min="10488" max="10488" width="7.5703125" style="245" customWidth="1"/>
    <col min="10489" max="10489" width="15.5703125" style="245" customWidth="1"/>
    <col min="10490" max="10490" width="20.140625" style="245" customWidth="1"/>
    <col min="10491" max="10491" width="2.28515625" style="245" customWidth="1"/>
    <col min="10492" max="10492" width="17.42578125" style="245" customWidth="1"/>
    <col min="10493" max="10493" width="1.85546875" style="245" customWidth="1"/>
    <col min="10494" max="10494" width="18.7109375" style="245" customWidth="1"/>
    <col min="10495" max="10495" width="1.85546875" style="245" customWidth="1"/>
    <col min="10496" max="10496" width="23" style="245" customWidth="1"/>
    <col min="10497" max="10497" width="1.85546875" style="245" customWidth="1"/>
    <col min="10498" max="10498" width="17.42578125" style="245" customWidth="1"/>
    <col min="10499" max="10499" width="3" style="245" customWidth="1"/>
    <col min="10500" max="10500" width="16.28515625" style="245" customWidth="1"/>
    <col min="10501" max="10501" width="3" style="245" customWidth="1"/>
    <col min="10502" max="10502" width="14.140625" style="245" customWidth="1"/>
    <col min="10503" max="10503" width="2" style="245" customWidth="1"/>
    <col min="10504" max="10504" width="15.85546875" style="245" customWidth="1"/>
    <col min="10505" max="10505" width="3.140625" style="245" customWidth="1"/>
    <col min="10506" max="10506" width="17.85546875" style="245" customWidth="1"/>
    <col min="10507" max="10507" width="2.5703125" style="245" customWidth="1"/>
    <col min="10508" max="10508" width="15.5703125" style="245" customWidth="1"/>
    <col min="10509" max="10509" width="1.85546875" style="245" customWidth="1"/>
    <col min="10510" max="10510" width="14.140625" style="245" customWidth="1"/>
    <col min="10511" max="10511" width="11" style="245" customWidth="1"/>
    <col min="10512" max="10513" width="25" style="245" customWidth="1"/>
    <col min="10514" max="10514" width="1.85546875" style="245" customWidth="1"/>
    <col min="10515" max="10515" width="17.85546875" style="245" customWidth="1"/>
    <col min="10516" max="10516" width="1.85546875" style="245" customWidth="1"/>
    <col min="10517" max="10517" width="19" style="245" customWidth="1"/>
    <col min="10518" max="10518" width="1.85546875" style="245" customWidth="1"/>
    <col min="10519" max="10519" width="16.7109375" style="245" customWidth="1"/>
    <col min="10520" max="10520" width="1.85546875" style="245" customWidth="1"/>
    <col min="10521" max="10521" width="16.7109375" style="245" customWidth="1"/>
    <col min="10522" max="10522" width="1.85546875" style="245" customWidth="1"/>
    <col min="10523" max="10523" width="16.7109375" style="245" customWidth="1"/>
    <col min="10524" max="10524" width="1.85546875" style="245" customWidth="1"/>
    <col min="10525" max="10525" width="16.7109375" style="245" customWidth="1"/>
    <col min="10526" max="10526" width="1.85546875" style="245" customWidth="1"/>
    <col min="10527" max="10527" width="17.85546875" style="245" customWidth="1"/>
    <col min="10528" max="10528" width="5.28515625" style="245" customWidth="1"/>
    <col min="10529" max="10529" width="16.7109375" style="245" customWidth="1"/>
    <col min="10530" max="10530" width="5.28515625" style="245" customWidth="1"/>
    <col min="10531" max="10531" width="14.42578125" style="245" customWidth="1"/>
    <col min="10532" max="10532" width="1.85546875" style="245" customWidth="1"/>
    <col min="10533" max="10533" width="16.7109375" style="245" customWidth="1"/>
    <col min="10534" max="10743" width="11" style="245"/>
    <col min="10744" max="10744" width="7.5703125" style="245" customWidth="1"/>
    <col min="10745" max="10745" width="15.5703125" style="245" customWidth="1"/>
    <col min="10746" max="10746" width="20.140625" style="245" customWidth="1"/>
    <col min="10747" max="10747" width="2.28515625" style="245" customWidth="1"/>
    <col min="10748" max="10748" width="17.42578125" style="245" customWidth="1"/>
    <col min="10749" max="10749" width="1.85546875" style="245" customWidth="1"/>
    <col min="10750" max="10750" width="18.7109375" style="245" customWidth="1"/>
    <col min="10751" max="10751" width="1.85546875" style="245" customWidth="1"/>
    <col min="10752" max="10752" width="23" style="245" customWidth="1"/>
    <col min="10753" max="10753" width="1.85546875" style="245" customWidth="1"/>
    <col min="10754" max="10754" width="17.42578125" style="245" customWidth="1"/>
    <col min="10755" max="10755" width="3" style="245" customWidth="1"/>
    <col min="10756" max="10756" width="16.28515625" style="245" customWidth="1"/>
    <col min="10757" max="10757" width="3" style="245" customWidth="1"/>
    <col min="10758" max="10758" width="14.140625" style="245" customWidth="1"/>
    <col min="10759" max="10759" width="2" style="245" customWidth="1"/>
    <col min="10760" max="10760" width="15.85546875" style="245" customWidth="1"/>
    <col min="10761" max="10761" width="3.140625" style="245" customWidth="1"/>
    <col min="10762" max="10762" width="17.85546875" style="245" customWidth="1"/>
    <col min="10763" max="10763" width="2.5703125" style="245" customWidth="1"/>
    <col min="10764" max="10764" width="15.5703125" style="245" customWidth="1"/>
    <col min="10765" max="10765" width="1.85546875" style="245" customWidth="1"/>
    <col min="10766" max="10766" width="14.140625" style="245" customWidth="1"/>
    <col min="10767" max="10767" width="11" style="245" customWidth="1"/>
    <col min="10768" max="10769" width="25" style="245" customWidth="1"/>
    <col min="10770" max="10770" width="1.85546875" style="245" customWidth="1"/>
    <col min="10771" max="10771" width="17.85546875" style="245" customWidth="1"/>
    <col min="10772" max="10772" width="1.85546875" style="245" customWidth="1"/>
    <col min="10773" max="10773" width="19" style="245" customWidth="1"/>
    <col min="10774" max="10774" width="1.85546875" style="245" customWidth="1"/>
    <col min="10775" max="10775" width="16.7109375" style="245" customWidth="1"/>
    <col min="10776" max="10776" width="1.85546875" style="245" customWidth="1"/>
    <col min="10777" max="10777" width="16.7109375" style="245" customWidth="1"/>
    <col min="10778" max="10778" width="1.85546875" style="245" customWidth="1"/>
    <col min="10779" max="10779" width="16.7109375" style="245" customWidth="1"/>
    <col min="10780" max="10780" width="1.85546875" style="245" customWidth="1"/>
    <col min="10781" max="10781" width="16.7109375" style="245" customWidth="1"/>
    <col min="10782" max="10782" width="1.85546875" style="245" customWidth="1"/>
    <col min="10783" max="10783" width="17.85546875" style="245" customWidth="1"/>
    <col min="10784" max="10784" width="5.28515625" style="245" customWidth="1"/>
    <col min="10785" max="10785" width="16.7109375" style="245" customWidth="1"/>
    <col min="10786" max="10786" width="5.28515625" style="245" customWidth="1"/>
    <col min="10787" max="10787" width="14.42578125" style="245" customWidth="1"/>
    <col min="10788" max="10788" width="1.85546875" style="245" customWidth="1"/>
    <col min="10789" max="10789" width="16.7109375" style="245" customWidth="1"/>
    <col min="10790" max="10999" width="11" style="245"/>
    <col min="11000" max="11000" width="7.5703125" style="245" customWidth="1"/>
    <col min="11001" max="11001" width="15.5703125" style="245" customWidth="1"/>
    <col min="11002" max="11002" width="20.140625" style="245" customWidth="1"/>
    <col min="11003" max="11003" width="2.28515625" style="245" customWidth="1"/>
    <col min="11004" max="11004" width="17.42578125" style="245" customWidth="1"/>
    <col min="11005" max="11005" width="1.85546875" style="245" customWidth="1"/>
    <col min="11006" max="11006" width="18.7109375" style="245" customWidth="1"/>
    <col min="11007" max="11007" width="1.85546875" style="245" customWidth="1"/>
    <col min="11008" max="11008" width="23" style="245" customWidth="1"/>
    <col min="11009" max="11009" width="1.85546875" style="245" customWidth="1"/>
    <col min="11010" max="11010" width="17.42578125" style="245" customWidth="1"/>
    <col min="11011" max="11011" width="3" style="245" customWidth="1"/>
    <col min="11012" max="11012" width="16.28515625" style="245" customWidth="1"/>
    <col min="11013" max="11013" width="3" style="245" customWidth="1"/>
    <col min="11014" max="11014" width="14.140625" style="245" customWidth="1"/>
    <col min="11015" max="11015" width="2" style="245" customWidth="1"/>
    <col min="11016" max="11016" width="15.85546875" style="245" customWidth="1"/>
    <col min="11017" max="11017" width="3.140625" style="245" customWidth="1"/>
    <col min="11018" max="11018" width="17.85546875" style="245" customWidth="1"/>
    <col min="11019" max="11019" width="2.5703125" style="245" customWidth="1"/>
    <col min="11020" max="11020" width="15.5703125" style="245" customWidth="1"/>
    <col min="11021" max="11021" width="1.85546875" style="245" customWidth="1"/>
    <col min="11022" max="11022" width="14.140625" style="245" customWidth="1"/>
    <col min="11023" max="11023" width="11" style="245" customWidth="1"/>
    <col min="11024" max="11025" width="25" style="245" customWidth="1"/>
    <col min="11026" max="11026" width="1.85546875" style="245" customWidth="1"/>
    <col min="11027" max="11027" width="17.85546875" style="245" customWidth="1"/>
    <col min="11028" max="11028" width="1.85546875" style="245" customWidth="1"/>
    <col min="11029" max="11029" width="19" style="245" customWidth="1"/>
    <col min="11030" max="11030" width="1.85546875" style="245" customWidth="1"/>
    <col min="11031" max="11031" width="16.7109375" style="245" customWidth="1"/>
    <col min="11032" max="11032" width="1.85546875" style="245" customWidth="1"/>
    <col min="11033" max="11033" width="16.7109375" style="245" customWidth="1"/>
    <col min="11034" max="11034" width="1.85546875" style="245" customWidth="1"/>
    <col min="11035" max="11035" width="16.7109375" style="245" customWidth="1"/>
    <col min="11036" max="11036" width="1.85546875" style="245" customWidth="1"/>
    <col min="11037" max="11037" width="16.7109375" style="245" customWidth="1"/>
    <col min="11038" max="11038" width="1.85546875" style="245" customWidth="1"/>
    <col min="11039" max="11039" width="17.85546875" style="245" customWidth="1"/>
    <col min="11040" max="11040" width="5.28515625" style="245" customWidth="1"/>
    <col min="11041" max="11041" width="16.7109375" style="245" customWidth="1"/>
    <col min="11042" max="11042" width="5.28515625" style="245" customWidth="1"/>
    <col min="11043" max="11043" width="14.42578125" style="245" customWidth="1"/>
    <col min="11044" max="11044" width="1.85546875" style="245" customWidth="1"/>
    <col min="11045" max="11045" width="16.7109375" style="245" customWidth="1"/>
    <col min="11046" max="11255" width="11" style="245"/>
    <col min="11256" max="11256" width="7.5703125" style="245" customWidth="1"/>
    <col min="11257" max="11257" width="15.5703125" style="245" customWidth="1"/>
    <col min="11258" max="11258" width="20.140625" style="245" customWidth="1"/>
    <col min="11259" max="11259" width="2.28515625" style="245" customWidth="1"/>
    <col min="11260" max="11260" width="17.42578125" style="245" customWidth="1"/>
    <col min="11261" max="11261" width="1.85546875" style="245" customWidth="1"/>
    <col min="11262" max="11262" width="18.7109375" style="245" customWidth="1"/>
    <col min="11263" max="11263" width="1.85546875" style="245" customWidth="1"/>
    <col min="11264" max="11264" width="23" style="245" customWidth="1"/>
    <col min="11265" max="11265" width="1.85546875" style="245" customWidth="1"/>
    <col min="11266" max="11266" width="17.42578125" style="245" customWidth="1"/>
    <col min="11267" max="11267" width="3" style="245" customWidth="1"/>
    <col min="11268" max="11268" width="16.28515625" style="245" customWidth="1"/>
    <col min="11269" max="11269" width="3" style="245" customWidth="1"/>
    <col min="11270" max="11270" width="14.140625" style="245" customWidth="1"/>
    <col min="11271" max="11271" width="2" style="245" customWidth="1"/>
    <col min="11272" max="11272" width="15.85546875" style="245" customWidth="1"/>
    <col min="11273" max="11273" width="3.140625" style="245" customWidth="1"/>
    <col min="11274" max="11274" width="17.85546875" style="245" customWidth="1"/>
    <col min="11275" max="11275" width="2.5703125" style="245" customWidth="1"/>
    <col min="11276" max="11276" width="15.5703125" style="245" customWidth="1"/>
    <col min="11277" max="11277" width="1.85546875" style="245" customWidth="1"/>
    <col min="11278" max="11278" width="14.140625" style="245" customWidth="1"/>
    <col min="11279" max="11279" width="11" style="245" customWidth="1"/>
    <col min="11280" max="11281" width="25" style="245" customWidth="1"/>
    <col min="11282" max="11282" width="1.85546875" style="245" customWidth="1"/>
    <col min="11283" max="11283" width="17.85546875" style="245" customWidth="1"/>
    <col min="11284" max="11284" width="1.85546875" style="245" customWidth="1"/>
    <col min="11285" max="11285" width="19" style="245" customWidth="1"/>
    <col min="11286" max="11286" width="1.85546875" style="245" customWidth="1"/>
    <col min="11287" max="11287" width="16.7109375" style="245" customWidth="1"/>
    <col min="11288" max="11288" width="1.85546875" style="245" customWidth="1"/>
    <col min="11289" max="11289" width="16.7109375" style="245" customWidth="1"/>
    <col min="11290" max="11290" width="1.85546875" style="245" customWidth="1"/>
    <col min="11291" max="11291" width="16.7109375" style="245" customWidth="1"/>
    <col min="11292" max="11292" width="1.85546875" style="245" customWidth="1"/>
    <col min="11293" max="11293" width="16.7109375" style="245" customWidth="1"/>
    <col min="11294" max="11294" width="1.85546875" style="245" customWidth="1"/>
    <col min="11295" max="11295" width="17.85546875" style="245" customWidth="1"/>
    <col min="11296" max="11296" width="5.28515625" style="245" customWidth="1"/>
    <col min="11297" max="11297" width="16.7109375" style="245" customWidth="1"/>
    <col min="11298" max="11298" width="5.28515625" style="245" customWidth="1"/>
    <col min="11299" max="11299" width="14.42578125" style="245" customWidth="1"/>
    <col min="11300" max="11300" width="1.85546875" style="245" customWidth="1"/>
    <col min="11301" max="11301" width="16.7109375" style="245" customWidth="1"/>
    <col min="11302" max="11511" width="11" style="245"/>
    <col min="11512" max="11512" width="7.5703125" style="245" customWidth="1"/>
    <col min="11513" max="11513" width="15.5703125" style="245" customWidth="1"/>
    <col min="11514" max="11514" width="20.140625" style="245" customWidth="1"/>
    <col min="11515" max="11515" width="2.28515625" style="245" customWidth="1"/>
    <col min="11516" max="11516" width="17.42578125" style="245" customWidth="1"/>
    <col min="11517" max="11517" width="1.85546875" style="245" customWidth="1"/>
    <col min="11518" max="11518" width="18.7109375" style="245" customWidth="1"/>
    <col min="11519" max="11519" width="1.85546875" style="245" customWidth="1"/>
    <col min="11520" max="11520" width="23" style="245" customWidth="1"/>
    <col min="11521" max="11521" width="1.85546875" style="245" customWidth="1"/>
    <col min="11522" max="11522" width="17.42578125" style="245" customWidth="1"/>
    <col min="11523" max="11523" width="3" style="245" customWidth="1"/>
    <col min="11524" max="11524" width="16.28515625" style="245" customWidth="1"/>
    <col min="11525" max="11525" width="3" style="245" customWidth="1"/>
    <col min="11526" max="11526" width="14.140625" style="245" customWidth="1"/>
    <col min="11527" max="11527" width="2" style="245" customWidth="1"/>
    <col min="11528" max="11528" width="15.85546875" style="245" customWidth="1"/>
    <col min="11529" max="11529" width="3.140625" style="245" customWidth="1"/>
    <col min="11530" max="11530" width="17.85546875" style="245" customWidth="1"/>
    <col min="11531" max="11531" width="2.5703125" style="245" customWidth="1"/>
    <col min="11532" max="11532" width="15.5703125" style="245" customWidth="1"/>
    <col min="11533" max="11533" width="1.85546875" style="245" customWidth="1"/>
    <col min="11534" max="11534" width="14.140625" style="245" customWidth="1"/>
    <col min="11535" max="11535" width="11" style="245" customWidth="1"/>
    <col min="11536" max="11537" width="25" style="245" customWidth="1"/>
    <col min="11538" max="11538" width="1.85546875" style="245" customWidth="1"/>
    <col min="11539" max="11539" width="17.85546875" style="245" customWidth="1"/>
    <col min="11540" max="11540" width="1.85546875" style="245" customWidth="1"/>
    <col min="11541" max="11541" width="19" style="245" customWidth="1"/>
    <col min="11542" max="11542" width="1.85546875" style="245" customWidth="1"/>
    <col min="11543" max="11543" width="16.7109375" style="245" customWidth="1"/>
    <col min="11544" max="11544" width="1.85546875" style="245" customWidth="1"/>
    <col min="11545" max="11545" width="16.7109375" style="245" customWidth="1"/>
    <col min="11546" max="11546" width="1.85546875" style="245" customWidth="1"/>
    <col min="11547" max="11547" width="16.7109375" style="245" customWidth="1"/>
    <col min="11548" max="11548" width="1.85546875" style="245" customWidth="1"/>
    <col min="11549" max="11549" width="16.7109375" style="245" customWidth="1"/>
    <col min="11550" max="11550" width="1.85546875" style="245" customWidth="1"/>
    <col min="11551" max="11551" width="17.85546875" style="245" customWidth="1"/>
    <col min="11552" max="11552" width="5.28515625" style="245" customWidth="1"/>
    <col min="11553" max="11553" width="16.7109375" style="245" customWidth="1"/>
    <col min="11554" max="11554" width="5.28515625" style="245" customWidth="1"/>
    <col min="11555" max="11555" width="14.42578125" style="245" customWidth="1"/>
    <col min="11556" max="11556" width="1.85546875" style="245" customWidth="1"/>
    <col min="11557" max="11557" width="16.7109375" style="245" customWidth="1"/>
    <col min="11558" max="11767" width="11" style="245"/>
    <col min="11768" max="11768" width="7.5703125" style="245" customWidth="1"/>
    <col min="11769" max="11769" width="15.5703125" style="245" customWidth="1"/>
    <col min="11770" max="11770" width="20.140625" style="245" customWidth="1"/>
    <col min="11771" max="11771" width="2.28515625" style="245" customWidth="1"/>
    <col min="11772" max="11772" width="17.42578125" style="245" customWidth="1"/>
    <col min="11773" max="11773" width="1.85546875" style="245" customWidth="1"/>
    <col min="11774" max="11774" width="18.7109375" style="245" customWidth="1"/>
    <col min="11775" max="11775" width="1.85546875" style="245" customWidth="1"/>
    <col min="11776" max="11776" width="23" style="245" customWidth="1"/>
    <col min="11777" max="11777" width="1.85546875" style="245" customWidth="1"/>
    <col min="11778" max="11778" width="17.42578125" style="245" customWidth="1"/>
    <col min="11779" max="11779" width="3" style="245" customWidth="1"/>
    <col min="11780" max="11780" width="16.28515625" style="245" customWidth="1"/>
    <col min="11781" max="11781" width="3" style="245" customWidth="1"/>
    <col min="11782" max="11782" width="14.140625" style="245" customWidth="1"/>
    <col min="11783" max="11783" width="2" style="245" customWidth="1"/>
    <col min="11784" max="11784" width="15.85546875" style="245" customWidth="1"/>
    <col min="11785" max="11785" width="3.140625" style="245" customWidth="1"/>
    <col min="11786" max="11786" width="17.85546875" style="245" customWidth="1"/>
    <col min="11787" max="11787" width="2.5703125" style="245" customWidth="1"/>
    <col min="11788" max="11788" width="15.5703125" style="245" customWidth="1"/>
    <col min="11789" max="11789" width="1.85546875" style="245" customWidth="1"/>
    <col min="11790" max="11790" width="14.140625" style="245" customWidth="1"/>
    <col min="11791" max="11791" width="11" style="245" customWidth="1"/>
    <col min="11792" max="11793" width="25" style="245" customWidth="1"/>
    <col min="11794" max="11794" width="1.85546875" style="245" customWidth="1"/>
    <col min="11795" max="11795" width="17.85546875" style="245" customWidth="1"/>
    <col min="11796" max="11796" width="1.85546875" style="245" customWidth="1"/>
    <col min="11797" max="11797" width="19" style="245" customWidth="1"/>
    <col min="11798" max="11798" width="1.85546875" style="245" customWidth="1"/>
    <col min="11799" max="11799" width="16.7109375" style="245" customWidth="1"/>
    <col min="11800" max="11800" width="1.85546875" style="245" customWidth="1"/>
    <col min="11801" max="11801" width="16.7109375" style="245" customWidth="1"/>
    <col min="11802" max="11802" width="1.85546875" style="245" customWidth="1"/>
    <col min="11803" max="11803" width="16.7109375" style="245" customWidth="1"/>
    <col min="11804" max="11804" width="1.85546875" style="245" customWidth="1"/>
    <col min="11805" max="11805" width="16.7109375" style="245" customWidth="1"/>
    <col min="11806" max="11806" width="1.85546875" style="245" customWidth="1"/>
    <col min="11807" max="11807" width="17.85546875" style="245" customWidth="1"/>
    <col min="11808" max="11808" width="5.28515625" style="245" customWidth="1"/>
    <col min="11809" max="11809" width="16.7109375" style="245" customWidth="1"/>
    <col min="11810" max="11810" width="5.28515625" style="245" customWidth="1"/>
    <col min="11811" max="11811" width="14.42578125" style="245" customWidth="1"/>
    <col min="11812" max="11812" width="1.85546875" style="245" customWidth="1"/>
    <col min="11813" max="11813" width="16.7109375" style="245" customWidth="1"/>
    <col min="11814" max="12023" width="11" style="245"/>
    <col min="12024" max="12024" width="7.5703125" style="245" customWidth="1"/>
    <col min="12025" max="12025" width="15.5703125" style="245" customWidth="1"/>
    <col min="12026" max="12026" width="20.140625" style="245" customWidth="1"/>
    <col min="12027" max="12027" width="2.28515625" style="245" customWidth="1"/>
    <col min="12028" max="12028" width="17.42578125" style="245" customWidth="1"/>
    <col min="12029" max="12029" width="1.85546875" style="245" customWidth="1"/>
    <col min="12030" max="12030" width="18.7109375" style="245" customWidth="1"/>
    <col min="12031" max="12031" width="1.85546875" style="245" customWidth="1"/>
    <col min="12032" max="12032" width="23" style="245" customWidth="1"/>
    <col min="12033" max="12033" width="1.85546875" style="245" customWidth="1"/>
    <col min="12034" max="12034" width="17.42578125" style="245" customWidth="1"/>
    <col min="12035" max="12035" width="3" style="245" customWidth="1"/>
    <col min="12036" max="12036" width="16.28515625" style="245" customWidth="1"/>
    <col min="12037" max="12037" width="3" style="245" customWidth="1"/>
    <col min="12038" max="12038" width="14.140625" style="245" customWidth="1"/>
    <col min="12039" max="12039" width="2" style="245" customWidth="1"/>
    <col min="12040" max="12040" width="15.85546875" style="245" customWidth="1"/>
    <col min="12041" max="12041" width="3.140625" style="245" customWidth="1"/>
    <col min="12042" max="12042" width="17.85546875" style="245" customWidth="1"/>
    <col min="12043" max="12043" width="2.5703125" style="245" customWidth="1"/>
    <col min="12044" max="12044" width="15.5703125" style="245" customWidth="1"/>
    <col min="12045" max="12045" width="1.85546875" style="245" customWidth="1"/>
    <col min="12046" max="12046" width="14.140625" style="245" customWidth="1"/>
    <col min="12047" max="12047" width="11" style="245" customWidth="1"/>
    <col min="12048" max="12049" width="25" style="245" customWidth="1"/>
    <col min="12050" max="12050" width="1.85546875" style="245" customWidth="1"/>
    <col min="12051" max="12051" width="17.85546875" style="245" customWidth="1"/>
    <col min="12052" max="12052" width="1.85546875" style="245" customWidth="1"/>
    <col min="12053" max="12053" width="19" style="245" customWidth="1"/>
    <col min="12054" max="12054" width="1.85546875" style="245" customWidth="1"/>
    <col min="12055" max="12055" width="16.7109375" style="245" customWidth="1"/>
    <col min="12056" max="12056" width="1.85546875" style="245" customWidth="1"/>
    <col min="12057" max="12057" width="16.7109375" style="245" customWidth="1"/>
    <col min="12058" max="12058" width="1.85546875" style="245" customWidth="1"/>
    <col min="12059" max="12059" width="16.7109375" style="245" customWidth="1"/>
    <col min="12060" max="12060" width="1.85546875" style="245" customWidth="1"/>
    <col min="12061" max="12061" width="16.7109375" style="245" customWidth="1"/>
    <col min="12062" max="12062" width="1.85546875" style="245" customWidth="1"/>
    <col min="12063" max="12063" width="17.85546875" style="245" customWidth="1"/>
    <col min="12064" max="12064" width="5.28515625" style="245" customWidth="1"/>
    <col min="12065" max="12065" width="16.7109375" style="245" customWidth="1"/>
    <col min="12066" max="12066" width="5.28515625" style="245" customWidth="1"/>
    <col min="12067" max="12067" width="14.42578125" style="245" customWidth="1"/>
    <col min="12068" max="12068" width="1.85546875" style="245" customWidth="1"/>
    <col min="12069" max="12069" width="16.7109375" style="245" customWidth="1"/>
    <col min="12070" max="12279" width="11" style="245"/>
    <col min="12280" max="12280" width="7.5703125" style="245" customWidth="1"/>
    <col min="12281" max="12281" width="15.5703125" style="245" customWidth="1"/>
    <col min="12282" max="12282" width="20.140625" style="245" customWidth="1"/>
    <col min="12283" max="12283" width="2.28515625" style="245" customWidth="1"/>
    <col min="12284" max="12284" width="17.42578125" style="245" customWidth="1"/>
    <col min="12285" max="12285" width="1.85546875" style="245" customWidth="1"/>
    <col min="12286" max="12286" width="18.7109375" style="245" customWidth="1"/>
    <col min="12287" max="12287" width="1.85546875" style="245" customWidth="1"/>
    <col min="12288" max="12288" width="23" style="245" customWidth="1"/>
    <col min="12289" max="12289" width="1.85546875" style="245" customWidth="1"/>
    <col min="12290" max="12290" width="17.42578125" style="245" customWidth="1"/>
    <col min="12291" max="12291" width="3" style="245" customWidth="1"/>
    <col min="12292" max="12292" width="16.28515625" style="245" customWidth="1"/>
    <col min="12293" max="12293" width="3" style="245" customWidth="1"/>
    <col min="12294" max="12294" width="14.140625" style="245" customWidth="1"/>
    <col min="12295" max="12295" width="2" style="245" customWidth="1"/>
    <col min="12296" max="12296" width="15.85546875" style="245" customWidth="1"/>
    <col min="12297" max="12297" width="3.140625" style="245" customWidth="1"/>
    <col min="12298" max="12298" width="17.85546875" style="245" customWidth="1"/>
    <col min="12299" max="12299" width="2.5703125" style="245" customWidth="1"/>
    <col min="12300" max="12300" width="15.5703125" style="245" customWidth="1"/>
    <col min="12301" max="12301" width="1.85546875" style="245" customWidth="1"/>
    <col min="12302" max="12302" width="14.140625" style="245" customWidth="1"/>
    <col min="12303" max="12303" width="11" style="245" customWidth="1"/>
    <col min="12304" max="12305" width="25" style="245" customWidth="1"/>
    <col min="12306" max="12306" width="1.85546875" style="245" customWidth="1"/>
    <col min="12307" max="12307" width="17.85546875" style="245" customWidth="1"/>
    <col min="12308" max="12308" width="1.85546875" style="245" customWidth="1"/>
    <col min="12309" max="12309" width="19" style="245" customWidth="1"/>
    <col min="12310" max="12310" width="1.85546875" style="245" customWidth="1"/>
    <col min="12311" max="12311" width="16.7109375" style="245" customWidth="1"/>
    <col min="12312" max="12312" width="1.85546875" style="245" customWidth="1"/>
    <col min="12313" max="12313" width="16.7109375" style="245" customWidth="1"/>
    <col min="12314" max="12314" width="1.85546875" style="245" customWidth="1"/>
    <col min="12315" max="12315" width="16.7109375" style="245" customWidth="1"/>
    <col min="12316" max="12316" width="1.85546875" style="245" customWidth="1"/>
    <col min="12317" max="12317" width="16.7109375" style="245" customWidth="1"/>
    <col min="12318" max="12318" width="1.85546875" style="245" customWidth="1"/>
    <col min="12319" max="12319" width="17.85546875" style="245" customWidth="1"/>
    <col min="12320" max="12320" width="5.28515625" style="245" customWidth="1"/>
    <col min="12321" max="12321" width="16.7109375" style="245" customWidth="1"/>
    <col min="12322" max="12322" width="5.28515625" style="245" customWidth="1"/>
    <col min="12323" max="12323" width="14.42578125" style="245" customWidth="1"/>
    <col min="12324" max="12324" width="1.85546875" style="245" customWidth="1"/>
    <col min="12325" max="12325" width="16.7109375" style="245" customWidth="1"/>
    <col min="12326" max="12535" width="11" style="245"/>
    <col min="12536" max="12536" width="7.5703125" style="245" customWidth="1"/>
    <col min="12537" max="12537" width="15.5703125" style="245" customWidth="1"/>
    <col min="12538" max="12538" width="20.140625" style="245" customWidth="1"/>
    <col min="12539" max="12539" width="2.28515625" style="245" customWidth="1"/>
    <col min="12540" max="12540" width="17.42578125" style="245" customWidth="1"/>
    <col min="12541" max="12541" width="1.85546875" style="245" customWidth="1"/>
    <col min="12542" max="12542" width="18.7109375" style="245" customWidth="1"/>
    <col min="12543" max="12543" width="1.85546875" style="245" customWidth="1"/>
    <col min="12544" max="12544" width="23" style="245" customWidth="1"/>
    <col min="12545" max="12545" width="1.85546875" style="245" customWidth="1"/>
    <col min="12546" max="12546" width="17.42578125" style="245" customWidth="1"/>
    <col min="12547" max="12547" width="3" style="245" customWidth="1"/>
    <col min="12548" max="12548" width="16.28515625" style="245" customWidth="1"/>
    <col min="12549" max="12549" width="3" style="245" customWidth="1"/>
    <col min="12550" max="12550" width="14.140625" style="245" customWidth="1"/>
    <col min="12551" max="12551" width="2" style="245" customWidth="1"/>
    <col min="12552" max="12552" width="15.85546875" style="245" customWidth="1"/>
    <col min="12553" max="12553" width="3.140625" style="245" customWidth="1"/>
    <col min="12554" max="12554" width="17.85546875" style="245" customWidth="1"/>
    <col min="12555" max="12555" width="2.5703125" style="245" customWidth="1"/>
    <col min="12556" max="12556" width="15.5703125" style="245" customWidth="1"/>
    <col min="12557" max="12557" width="1.85546875" style="245" customWidth="1"/>
    <col min="12558" max="12558" width="14.140625" style="245" customWidth="1"/>
    <col min="12559" max="12559" width="11" style="245" customWidth="1"/>
    <col min="12560" max="12561" width="25" style="245" customWidth="1"/>
    <col min="12562" max="12562" width="1.85546875" style="245" customWidth="1"/>
    <col min="12563" max="12563" width="17.85546875" style="245" customWidth="1"/>
    <col min="12564" max="12564" width="1.85546875" style="245" customWidth="1"/>
    <col min="12565" max="12565" width="19" style="245" customWidth="1"/>
    <col min="12566" max="12566" width="1.85546875" style="245" customWidth="1"/>
    <col min="12567" max="12567" width="16.7109375" style="245" customWidth="1"/>
    <col min="12568" max="12568" width="1.85546875" style="245" customWidth="1"/>
    <col min="12569" max="12569" width="16.7109375" style="245" customWidth="1"/>
    <col min="12570" max="12570" width="1.85546875" style="245" customWidth="1"/>
    <col min="12571" max="12571" width="16.7109375" style="245" customWidth="1"/>
    <col min="12572" max="12572" width="1.85546875" style="245" customWidth="1"/>
    <col min="12573" max="12573" width="16.7109375" style="245" customWidth="1"/>
    <col min="12574" max="12574" width="1.85546875" style="245" customWidth="1"/>
    <col min="12575" max="12575" width="17.85546875" style="245" customWidth="1"/>
    <col min="12576" max="12576" width="5.28515625" style="245" customWidth="1"/>
    <col min="12577" max="12577" width="16.7109375" style="245" customWidth="1"/>
    <col min="12578" max="12578" width="5.28515625" style="245" customWidth="1"/>
    <col min="12579" max="12579" width="14.42578125" style="245" customWidth="1"/>
    <col min="12580" max="12580" width="1.85546875" style="245" customWidth="1"/>
    <col min="12581" max="12581" width="16.7109375" style="245" customWidth="1"/>
    <col min="12582" max="12791" width="11" style="245"/>
    <col min="12792" max="12792" width="7.5703125" style="245" customWidth="1"/>
    <col min="12793" max="12793" width="15.5703125" style="245" customWidth="1"/>
    <col min="12794" max="12794" width="20.140625" style="245" customWidth="1"/>
    <col min="12795" max="12795" width="2.28515625" style="245" customWidth="1"/>
    <col min="12796" max="12796" width="17.42578125" style="245" customWidth="1"/>
    <col min="12797" max="12797" width="1.85546875" style="245" customWidth="1"/>
    <col min="12798" max="12798" width="18.7109375" style="245" customWidth="1"/>
    <col min="12799" max="12799" width="1.85546875" style="245" customWidth="1"/>
    <col min="12800" max="12800" width="23" style="245" customWidth="1"/>
    <col min="12801" max="12801" width="1.85546875" style="245" customWidth="1"/>
    <col min="12802" max="12802" width="17.42578125" style="245" customWidth="1"/>
    <col min="12803" max="12803" width="3" style="245" customWidth="1"/>
    <col min="12804" max="12804" width="16.28515625" style="245" customWidth="1"/>
    <col min="12805" max="12805" width="3" style="245" customWidth="1"/>
    <col min="12806" max="12806" width="14.140625" style="245" customWidth="1"/>
    <col min="12807" max="12807" width="2" style="245" customWidth="1"/>
    <col min="12808" max="12808" width="15.85546875" style="245" customWidth="1"/>
    <col min="12809" max="12809" width="3.140625" style="245" customWidth="1"/>
    <col min="12810" max="12810" width="17.85546875" style="245" customWidth="1"/>
    <col min="12811" max="12811" width="2.5703125" style="245" customWidth="1"/>
    <col min="12812" max="12812" width="15.5703125" style="245" customWidth="1"/>
    <col min="12813" max="12813" width="1.85546875" style="245" customWidth="1"/>
    <col min="12814" max="12814" width="14.140625" style="245" customWidth="1"/>
    <col min="12815" max="12815" width="11" style="245" customWidth="1"/>
    <col min="12816" max="12817" width="25" style="245" customWidth="1"/>
    <col min="12818" max="12818" width="1.85546875" style="245" customWidth="1"/>
    <col min="12819" max="12819" width="17.85546875" style="245" customWidth="1"/>
    <col min="12820" max="12820" width="1.85546875" style="245" customWidth="1"/>
    <col min="12821" max="12821" width="19" style="245" customWidth="1"/>
    <col min="12822" max="12822" width="1.85546875" style="245" customWidth="1"/>
    <col min="12823" max="12823" width="16.7109375" style="245" customWidth="1"/>
    <col min="12824" max="12824" width="1.85546875" style="245" customWidth="1"/>
    <col min="12825" max="12825" width="16.7109375" style="245" customWidth="1"/>
    <col min="12826" max="12826" width="1.85546875" style="245" customWidth="1"/>
    <col min="12827" max="12827" width="16.7109375" style="245" customWidth="1"/>
    <col min="12828" max="12828" width="1.85546875" style="245" customWidth="1"/>
    <col min="12829" max="12829" width="16.7109375" style="245" customWidth="1"/>
    <col min="12830" max="12830" width="1.85546875" style="245" customWidth="1"/>
    <col min="12831" max="12831" width="17.85546875" style="245" customWidth="1"/>
    <col min="12832" max="12832" width="5.28515625" style="245" customWidth="1"/>
    <col min="12833" max="12833" width="16.7109375" style="245" customWidth="1"/>
    <col min="12834" max="12834" width="5.28515625" style="245" customWidth="1"/>
    <col min="12835" max="12835" width="14.42578125" style="245" customWidth="1"/>
    <col min="12836" max="12836" width="1.85546875" style="245" customWidth="1"/>
    <col min="12837" max="12837" width="16.7109375" style="245" customWidth="1"/>
    <col min="12838" max="13047" width="11" style="245"/>
    <col min="13048" max="13048" width="7.5703125" style="245" customWidth="1"/>
    <col min="13049" max="13049" width="15.5703125" style="245" customWidth="1"/>
    <col min="13050" max="13050" width="20.140625" style="245" customWidth="1"/>
    <col min="13051" max="13051" width="2.28515625" style="245" customWidth="1"/>
    <col min="13052" max="13052" width="17.42578125" style="245" customWidth="1"/>
    <col min="13053" max="13053" width="1.85546875" style="245" customWidth="1"/>
    <col min="13054" max="13054" width="18.7109375" style="245" customWidth="1"/>
    <col min="13055" max="13055" width="1.85546875" style="245" customWidth="1"/>
    <col min="13056" max="13056" width="23" style="245" customWidth="1"/>
    <col min="13057" max="13057" width="1.85546875" style="245" customWidth="1"/>
    <col min="13058" max="13058" width="17.42578125" style="245" customWidth="1"/>
    <col min="13059" max="13059" width="3" style="245" customWidth="1"/>
    <col min="13060" max="13060" width="16.28515625" style="245" customWidth="1"/>
    <col min="13061" max="13061" width="3" style="245" customWidth="1"/>
    <col min="13062" max="13062" width="14.140625" style="245" customWidth="1"/>
    <col min="13063" max="13063" width="2" style="245" customWidth="1"/>
    <col min="13064" max="13064" width="15.85546875" style="245" customWidth="1"/>
    <col min="13065" max="13065" width="3.140625" style="245" customWidth="1"/>
    <col min="13066" max="13066" width="17.85546875" style="245" customWidth="1"/>
    <col min="13067" max="13067" width="2.5703125" style="245" customWidth="1"/>
    <col min="13068" max="13068" width="15.5703125" style="245" customWidth="1"/>
    <col min="13069" max="13069" width="1.85546875" style="245" customWidth="1"/>
    <col min="13070" max="13070" width="14.140625" style="245" customWidth="1"/>
    <col min="13071" max="13071" width="11" style="245" customWidth="1"/>
    <col min="13072" max="13073" width="25" style="245" customWidth="1"/>
    <col min="13074" max="13074" width="1.85546875" style="245" customWidth="1"/>
    <col min="13075" max="13075" width="17.85546875" style="245" customWidth="1"/>
    <col min="13076" max="13076" width="1.85546875" style="245" customWidth="1"/>
    <col min="13077" max="13077" width="19" style="245" customWidth="1"/>
    <col min="13078" max="13078" width="1.85546875" style="245" customWidth="1"/>
    <col min="13079" max="13079" width="16.7109375" style="245" customWidth="1"/>
    <col min="13080" max="13080" width="1.85546875" style="245" customWidth="1"/>
    <col min="13081" max="13081" width="16.7109375" style="245" customWidth="1"/>
    <col min="13082" max="13082" width="1.85546875" style="245" customWidth="1"/>
    <col min="13083" max="13083" width="16.7109375" style="245" customWidth="1"/>
    <col min="13084" max="13084" width="1.85546875" style="245" customWidth="1"/>
    <col min="13085" max="13085" width="16.7109375" style="245" customWidth="1"/>
    <col min="13086" max="13086" width="1.85546875" style="245" customWidth="1"/>
    <col min="13087" max="13087" width="17.85546875" style="245" customWidth="1"/>
    <col min="13088" max="13088" width="5.28515625" style="245" customWidth="1"/>
    <col min="13089" max="13089" width="16.7109375" style="245" customWidth="1"/>
    <col min="13090" max="13090" width="5.28515625" style="245" customWidth="1"/>
    <col min="13091" max="13091" width="14.42578125" style="245" customWidth="1"/>
    <col min="13092" max="13092" width="1.85546875" style="245" customWidth="1"/>
    <col min="13093" max="13093" width="16.7109375" style="245" customWidth="1"/>
    <col min="13094" max="13303" width="11" style="245"/>
    <col min="13304" max="13304" width="7.5703125" style="245" customWidth="1"/>
    <col min="13305" max="13305" width="15.5703125" style="245" customWidth="1"/>
    <col min="13306" max="13306" width="20.140625" style="245" customWidth="1"/>
    <col min="13307" max="13307" width="2.28515625" style="245" customWidth="1"/>
    <col min="13308" max="13308" width="17.42578125" style="245" customWidth="1"/>
    <col min="13309" max="13309" width="1.85546875" style="245" customWidth="1"/>
    <col min="13310" max="13310" width="18.7109375" style="245" customWidth="1"/>
    <col min="13311" max="13311" width="1.85546875" style="245" customWidth="1"/>
    <col min="13312" max="13312" width="23" style="245" customWidth="1"/>
    <col min="13313" max="13313" width="1.85546875" style="245" customWidth="1"/>
    <col min="13314" max="13314" width="17.42578125" style="245" customWidth="1"/>
    <col min="13315" max="13315" width="3" style="245" customWidth="1"/>
    <col min="13316" max="13316" width="16.28515625" style="245" customWidth="1"/>
    <col min="13317" max="13317" width="3" style="245" customWidth="1"/>
    <col min="13318" max="13318" width="14.140625" style="245" customWidth="1"/>
    <col min="13319" max="13319" width="2" style="245" customWidth="1"/>
    <col min="13320" max="13320" width="15.85546875" style="245" customWidth="1"/>
    <col min="13321" max="13321" width="3.140625" style="245" customWidth="1"/>
    <col min="13322" max="13322" width="17.85546875" style="245" customWidth="1"/>
    <col min="13323" max="13323" width="2.5703125" style="245" customWidth="1"/>
    <col min="13324" max="13324" width="15.5703125" style="245" customWidth="1"/>
    <col min="13325" max="13325" width="1.85546875" style="245" customWidth="1"/>
    <col min="13326" max="13326" width="14.140625" style="245" customWidth="1"/>
    <col min="13327" max="13327" width="11" style="245" customWidth="1"/>
    <col min="13328" max="13329" width="25" style="245" customWidth="1"/>
    <col min="13330" max="13330" width="1.85546875" style="245" customWidth="1"/>
    <col min="13331" max="13331" width="17.85546875" style="245" customWidth="1"/>
    <col min="13332" max="13332" width="1.85546875" style="245" customWidth="1"/>
    <col min="13333" max="13333" width="19" style="245" customWidth="1"/>
    <col min="13334" max="13334" width="1.85546875" style="245" customWidth="1"/>
    <col min="13335" max="13335" width="16.7109375" style="245" customWidth="1"/>
    <col min="13336" max="13336" width="1.85546875" style="245" customWidth="1"/>
    <col min="13337" max="13337" width="16.7109375" style="245" customWidth="1"/>
    <col min="13338" max="13338" width="1.85546875" style="245" customWidth="1"/>
    <col min="13339" max="13339" width="16.7109375" style="245" customWidth="1"/>
    <col min="13340" max="13340" width="1.85546875" style="245" customWidth="1"/>
    <col min="13341" max="13341" width="16.7109375" style="245" customWidth="1"/>
    <col min="13342" max="13342" width="1.85546875" style="245" customWidth="1"/>
    <col min="13343" max="13343" width="17.85546875" style="245" customWidth="1"/>
    <col min="13344" max="13344" width="5.28515625" style="245" customWidth="1"/>
    <col min="13345" max="13345" width="16.7109375" style="245" customWidth="1"/>
    <col min="13346" max="13346" width="5.28515625" style="245" customWidth="1"/>
    <col min="13347" max="13347" width="14.42578125" style="245" customWidth="1"/>
    <col min="13348" max="13348" width="1.85546875" style="245" customWidth="1"/>
    <col min="13349" max="13349" width="16.7109375" style="245" customWidth="1"/>
    <col min="13350" max="13559" width="11" style="245"/>
    <col min="13560" max="13560" width="7.5703125" style="245" customWidth="1"/>
    <col min="13561" max="13561" width="15.5703125" style="245" customWidth="1"/>
    <col min="13562" max="13562" width="20.140625" style="245" customWidth="1"/>
    <col min="13563" max="13563" width="2.28515625" style="245" customWidth="1"/>
    <col min="13564" max="13564" width="17.42578125" style="245" customWidth="1"/>
    <col min="13565" max="13565" width="1.85546875" style="245" customWidth="1"/>
    <col min="13566" max="13566" width="18.7109375" style="245" customWidth="1"/>
    <col min="13567" max="13567" width="1.85546875" style="245" customWidth="1"/>
    <col min="13568" max="13568" width="23" style="245" customWidth="1"/>
    <col min="13569" max="13569" width="1.85546875" style="245" customWidth="1"/>
    <col min="13570" max="13570" width="17.42578125" style="245" customWidth="1"/>
    <col min="13571" max="13571" width="3" style="245" customWidth="1"/>
    <col min="13572" max="13572" width="16.28515625" style="245" customWidth="1"/>
    <col min="13573" max="13573" width="3" style="245" customWidth="1"/>
    <col min="13574" max="13574" width="14.140625" style="245" customWidth="1"/>
    <col min="13575" max="13575" width="2" style="245" customWidth="1"/>
    <col min="13576" max="13576" width="15.85546875" style="245" customWidth="1"/>
    <col min="13577" max="13577" width="3.140625" style="245" customWidth="1"/>
    <col min="13578" max="13578" width="17.85546875" style="245" customWidth="1"/>
    <col min="13579" max="13579" width="2.5703125" style="245" customWidth="1"/>
    <col min="13580" max="13580" width="15.5703125" style="245" customWidth="1"/>
    <col min="13581" max="13581" width="1.85546875" style="245" customWidth="1"/>
    <col min="13582" max="13582" width="14.140625" style="245" customWidth="1"/>
    <col min="13583" max="13583" width="11" style="245" customWidth="1"/>
    <col min="13584" max="13585" width="25" style="245" customWidth="1"/>
    <col min="13586" max="13586" width="1.85546875" style="245" customWidth="1"/>
    <col min="13587" max="13587" width="17.85546875" style="245" customWidth="1"/>
    <col min="13588" max="13588" width="1.85546875" style="245" customWidth="1"/>
    <col min="13589" max="13589" width="19" style="245" customWidth="1"/>
    <col min="13590" max="13590" width="1.85546875" style="245" customWidth="1"/>
    <col min="13591" max="13591" width="16.7109375" style="245" customWidth="1"/>
    <col min="13592" max="13592" width="1.85546875" style="245" customWidth="1"/>
    <col min="13593" max="13593" width="16.7109375" style="245" customWidth="1"/>
    <col min="13594" max="13594" width="1.85546875" style="245" customWidth="1"/>
    <col min="13595" max="13595" width="16.7109375" style="245" customWidth="1"/>
    <col min="13596" max="13596" width="1.85546875" style="245" customWidth="1"/>
    <col min="13597" max="13597" width="16.7109375" style="245" customWidth="1"/>
    <col min="13598" max="13598" width="1.85546875" style="245" customWidth="1"/>
    <col min="13599" max="13599" width="17.85546875" style="245" customWidth="1"/>
    <col min="13600" max="13600" width="5.28515625" style="245" customWidth="1"/>
    <col min="13601" max="13601" width="16.7109375" style="245" customWidth="1"/>
    <col min="13602" max="13602" width="5.28515625" style="245" customWidth="1"/>
    <col min="13603" max="13603" width="14.42578125" style="245" customWidth="1"/>
    <col min="13604" max="13604" width="1.85546875" style="245" customWidth="1"/>
    <col min="13605" max="13605" width="16.7109375" style="245" customWidth="1"/>
    <col min="13606" max="13815" width="11" style="245"/>
    <col min="13816" max="13816" width="7.5703125" style="245" customWidth="1"/>
    <col min="13817" max="13817" width="15.5703125" style="245" customWidth="1"/>
    <col min="13818" max="13818" width="20.140625" style="245" customWidth="1"/>
    <col min="13819" max="13819" width="2.28515625" style="245" customWidth="1"/>
    <col min="13820" max="13820" width="17.42578125" style="245" customWidth="1"/>
    <col min="13821" max="13821" width="1.85546875" style="245" customWidth="1"/>
    <col min="13822" max="13822" width="18.7109375" style="245" customWidth="1"/>
    <col min="13823" max="13823" width="1.85546875" style="245" customWidth="1"/>
    <col min="13824" max="13824" width="23" style="245" customWidth="1"/>
    <col min="13825" max="13825" width="1.85546875" style="245" customWidth="1"/>
    <col min="13826" max="13826" width="17.42578125" style="245" customWidth="1"/>
    <col min="13827" max="13827" width="3" style="245" customWidth="1"/>
    <col min="13828" max="13828" width="16.28515625" style="245" customWidth="1"/>
    <col min="13829" max="13829" width="3" style="245" customWidth="1"/>
    <col min="13830" max="13830" width="14.140625" style="245" customWidth="1"/>
    <col min="13831" max="13831" width="2" style="245" customWidth="1"/>
    <col min="13832" max="13832" width="15.85546875" style="245" customWidth="1"/>
    <col min="13833" max="13833" width="3.140625" style="245" customWidth="1"/>
    <col min="13834" max="13834" width="17.85546875" style="245" customWidth="1"/>
    <col min="13835" max="13835" width="2.5703125" style="245" customWidth="1"/>
    <col min="13836" max="13836" width="15.5703125" style="245" customWidth="1"/>
    <col min="13837" max="13837" width="1.85546875" style="245" customWidth="1"/>
    <col min="13838" max="13838" width="14.140625" style="245" customWidth="1"/>
    <col min="13839" max="13839" width="11" style="245" customWidth="1"/>
    <col min="13840" max="13841" width="25" style="245" customWidth="1"/>
    <col min="13842" max="13842" width="1.85546875" style="245" customWidth="1"/>
    <col min="13843" max="13843" width="17.85546875" style="245" customWidth="1"/>
    <col min="13844" max="13844" width="1.85546875" style="245" customWidth="1"/>
    <col min="13845" max="13845" width="19" style="245" customWidth="1"/>
    <col min="13846" max="13846" width="1.85546875" style="245" customWidth="1"/>
    <col min="13847" max="13847" width="16.7109375" style="245" customWidth="1"/>
    <col min="13848" max="13848" width="1.85546875" style="245" customWidth="1"/>
    <col min="13849" max="13849" width="16.7109375" style="245" customWidth="1"/>
    <col min="13850" max="13850" width="1.85546875" style="245" customWidth="1"/>
    <col min="13851" max="13851" width="16.7109375" style="245" customWidth="1"/>
    <col min="13852" max="13852" width="1.85546875" style="245" customWidth="1"/>
    <col min="13853" max="13853" width="16.7109375" style="245" customWidth="1"/>
    <col min="13854" max="13854" width="1.85546875" style="245" customWidth="1"/>
    <col min="13855" max="13855" width="17.85546875" style="245" customWidth="1"/>
    <col min="13856" max="13856" width="5.28515625" style="245" customWidth="1"/>
    <col min="13857" max="13857" width="16.7109375" style="245" customWidth="1"/>
    <col min="13858" max="13858" width="5.28515625" style="245" customWidth="1"/>
    <col min="13859" max="13859" width="14.42578125" style="245" customWidth="1"/>
    <col min="13860" max="13860" width="1.85546875" style="245" customWidth="1"/>
    <col min="13861" max="13861" width="16.7109375" style="245" customWidth="1"/>
    <col min="13862" max="14071" width="11" style="245"/>
    <col min="14072" max="14072" width="7.5703125" style="245" customWidth="1"/>
    <col min="14073" max="14073" width="15.5703125" style="245" customWidth="1"/>
    <col min="14074" max="14074" width="20.140625" style="245" customWidth="1"/>
    <col min="14075" max="14075" width="2.28515625" style="245" customWidth="1"/>
    <col min="14076" max="14076" width="17.42578125" style="245" customWidth="1"/>
    <col min="14077" max="14077" width="1.85546875" style="245" customWidth="1"/>
    <col min="14078" max="14078" width="18.7109375" style="245" customWidth="1"/>
    <col min="14079" max="14079" width="1.85546875" style="245" customWidth="1"/>
    <col min="14080" max="14080" width="23" style="245" customWidth="1"/>
    <col min="14081" max="14081" width="1.85546875" style="245" customWidth="1"/>
    <col min="14082" max="14082" width="17.42578125" style="245" customWidth="1"/>
    <col min="14083" max="14083" width="3" style="245" customWidth="1"/>
    <col min="14084" max="14084" width="16.28515625" style="245" customWidth="1"/>
    <col min="14085" max="14085" width="3" style="245" customWidth="1"/>
    <col min="14086" max="14086" width="14.140625" style="245" customWidth="1"/>
    <col min="14087" max="14087" width="2" style="245" customWidth="1"/>
    <col min="14088" max="14088" width="15.85546875" style="245" customWidth="1"/>
    <col min="14089" max="14089" width="3.140625" style="245" customWidth="1"/>
    <col min="14090" max="14090" width="17.85546875" style="245" customWidth="1"/>
    <col min="14091" max="14091" width="2.5703125" style="245" customWidth="1"/>
    <col min="14092" max="14092" width="15.5703125" style="245" customWidth="1"/>
    <col min="14093" max="14093" width="1.85546875" style="245" customWidth="1"/>
    <col min="14094" max="14094" width="14.140625" style="245" customWidth="1"/>
    <col min="14095" max="14095" width="11" style="245" customWidth="1"/>
    <col min="14096" max="14097" width="25" style="245" customWidth="1"/>
    <col min="14098" max="14098" width="1.85546875" style="245" customWidth="1"/>
    <col min="14099" max="14099" width="17.85546875" style="245" customWidth="1"/>
    <col min="14100" max="14100" width="1.85546875" style="245" customWidth="1"/>
    <col min="14101" max="14101" width="19" style="245" customWidth="1"/>
    <col min="14102" max="14102" width="1.85546875" style="245" customWidth="1"/>
    <col min="14103" max="14103" width="16.7109375" style="245" customWidth="1"/>
    <col min="14104" max="14104" width="1.85546875" style="245" customWidth="1"/>
    <col min="14105" max="14105" width="16.7109375" style="245" customWidth="1"/>
    <col min="14106" max="14106" width="1.85546875" style="245" customWidth="1"/>
    <col min="14107" max="14107" width="16.7109375" style="245" customWidth="1"/>
    <col min="14108" max="14108" width="1.85546875" style="245" customWidth="1"/>
    <col min="14109" max="14109" width="16.7109375" style="245" customWidth="1"/>
    <col min="14110" max="14110" width="1.85546875" style="245" customWidth="1"/>
    <col min="14111" max="14111" width="17.85546875" style="245" customWidth="1"/>
    <col min="14112" max="14112" width="5.28515625" style="245" customWidth="1"/>
    <col min="14113" max="14113" width="16.7109375" style="245" customWidth="1"/>
    <col min="14114" max="14114" width="5.28515625" style="245" customWidth="1"/>
    <col min="14115" max="14115" width="14.42578125" style="245" customWidth="1"/>
    <col min="14116" max="14116" width="1.85546875" style="245" customWidth="1"/>
    <col min="14117" max="14117" width="16.7109375" style="245" customWidth="1"/>
    <col min="14118" max="14327" width="11" style="245"/>
    <col min="14328" max="14328" width="7.5703125" style="245" customWidth="1"/>
    <col min="14329" max="14329" width="15.5703125" style="245" customWidth="1"/>
    <col min="14330" max="14330" width="20.140625" style="245" customWidth="1"/>
    <col min="14331" max="14331" width="2.28515625" style="245" customWidth="1"/>
    <col min="14332" max="14332" width="17.42578125" style="245" customWidth="1"/>
    <col min="14333" max="14333" width="1.85546875" style="245" customWidth="1"/>
    <col min="14334" max="14334" width="18.7109375" style="245" customWidth="1"/>
    <col min="14335" max="14335" width="1.85546875" style="245" customWidth="1"/>
    <col min="14336" max="14336" width="23" style="245" customWidth="1"/>
    <col min="14337" max="14337" width="1.85546875" style="245" customWidth="1"/>
    <col min="14338" max="14338" width="17.42578125" style="245" customWidth="1"/>
    <col min="14339" max="14339" width="3" style="245" customWidth="1"/>
    <col min="14340" max="14340" width="16.28515625" style="245" customWidth="1"/>
    <col min="14341" max="14341" width="3" style="245" customWidth="1"/>
    <col min="14342" max="14342" width="14.140625" style="245" customWidth="1"/>
    <col min="14343" max="14343" width="2" style="245" customWidth="1"/>
    <col min="14344" max="14344" width="15.85546875" style="245" customWidth="1"/>
    <col min="14345" max="14345" width="3.140625" style="245" customWidth="1"/>
    <col min="14346" max="14346" width="17.85546875" style="245" customWidth="1"/>
    <col min="14347" max="14347" width="2.5703125" style="245" customWidth="1"/>
    <col min="14348" max="14348" width="15.5703125" style="245" customWidth="1"/>
    <col min="14349" max="14349" width="1.85546875" style="245" customWidth="1"/>
    <col min="14350" max="14350" width="14.140625" style="245" customWidth="1"/>
    <col min="14351" max="14351" width="11" style="245" customWidth="1"/>
    <col min="14352" max="14353" width="25" style="245" customWidth="1"/>
    <col min="14354" max="14354" width="1.85546875" style="245" customWidth="1"/>
    <col min="14355" max="14355" width="17.85546875" style="245" customWidth="1"/>
    <col min="14356" max="14356" width="1.85546875" style="245" customWidth="1"/>
    <col min="14357" max="14357" width="19" style="245" customWidth="1"/>
    <col min="14358" max="14358" width="1.85546875" style="245" customWidth="1"/>
    <col min="14359" max="14359" width="16.7109375" style="245" customWidth="1"/>
    <col min="14360" max="14360" width="1.85546875" style="245" customWidth="1"/>
    <col min="14361" max="14361" width="16.7109375" style="245" customWidth="1"/>
    <col min="14362" max="14362" width="1.85546875" style="245" customWidth="1"/>
    <col min="14363" max="14363" width="16.7109375" style="245" customWidth="1"/>
    <col min="14364" max="14364" width="1.85546875" style="245" customWidth="1"/>
    <col min="14365" max="14365" width="16.7109375" style="245" customWidth="1"/>
    <col min="14366" max="14366" width="1.85546875" style="245" customWidth="1"/>
    <col min="14367" max="14367" width="17.85546875" style="245" customWidth="1"/>
    <col min="14368" max="14368" width="5.28515625" style="245" customWidth="1"/>
    <col min="14369" max="14369" width="16.7109375" style="245" customWidth="1"/>
    <col min="14370" max="14370" width="5.28515625" style="245" customWidth="1"/>
    <col min="14371" max="14371" width="14.42578125" style="245" customWidth="1"/>
    <col min="14372" max="14372" width="1.85546875" style="245" customWidth="1"/>
    <col min="14373" max="14373" width="16.7109375" style="245" customWidth="1"/>
    <col min="14374" max="14583" width="11" style="245"/>
    <col min="14584" max="14584" width="7.5703125" style="245" customWidth="1"/>
    <col min="14585" max="14585" width="15.5703125" style="245" customWidth="1"/>
    <col min="14586" max="14586" width="20.140625" style="245" customWidth="1"/>
    <col min="14587" max="14587" width="2.28515625" style="245" customWidth="1"/>
    <col min="14588" max="14588" width="17.42578125" style="245" customWidth="1"/>
    <col min="14589" max="14589" width="1.85546875" style="245" customWidth="1"/>
    <col min="14590" max="14590" width="18.7109375" style="245" customWidth="1"/>
    <col min="14591" max="14591" width="1.85546875" style="245" customWidth="1"/>
    <col min="14592" max="14592" width="23" style="245" customWidth="1"/>
    <col min="14593" max="14593" width="1.85546875" style="245" customWidth="1"/>
    <col min="14594" max="14594" width="17.42578125" style="245" customWidth="1"/>
    <col min="14595" max="14595" width="3" style="245" customWidth="1"/>
    <col min="14596" max="14596" width="16.28515625" style="245" customWidth="1"/>
    <col min="14597" max="14597" width="3" style="245" customWidth="1"/>
    <col min="14598" max="14598" width="14.140625" style="245" customWidth="1"/>
    <col min="14599" max="14599" width="2" style="245" customWidth="1"/>
    <col min="14600" max="14600" width="15.85546875" style="245" customWidth="1"/>
    <col min="14601" max="14601" width="3.140625" style="245" customWidth="1"/>
    <col min="14602" max="14602" width="17.85546875" style="245" customWidth="1"/>
    <col min="14603" max="14603" width="2.5703125" style="245" customWidth="1"/>
    <col min="14604" max="14604" width="15.5703125" style="245" customWidth="1"/>
    <col min="14605" max="14605" width="1.85546875" style="245" customWidth="1"/>
    <col min="14606" max="14606" width="14.140625" style="245" customWidth="1"/>
    <col min="14607" max="14607" width="11" style="245" customWidth="1"/>
    <col min="14608" max="14609" width="25" style="245" customWidth="1"/>
    <col min="14610" max="14610" width="1.85546875" style="245" customWidth="1"/>
    <col min="14611" max="14611" width="17.85546875" style="245" customWidth="1"/>
    <col min="14612" max="14612" width="1.85546875" style="245" customWidth="1"/>
    <col min="14613" max="14613" width="19" style="245" customWidth="1"/>
    <col min="14614" max="14614" width="1.85546875" style="245" customWidth="1"/>
    <col min="14615" max="14615" width="16.7109375" style="245" customWidth="1"/>
    <col min="14616" max="14616" width="1.85546875" style="245" customWidth="1"/>
    <col min="14617" max="14617" width="16.7109375" style="245" customWidth="1"/>
    <col min="14618" max="14618" width="1.85546875" style="245" customWidth="1"/>
    <col min="14619" max="14619" width="16.7109375" style="245" customWidth="1"/>
    <col min="14620" max="14620" width="1.85546875" style="245" customWidth="1"/>
    <col min="14621" max="14621" width="16.7109375" style="245" customWidth="1"/>
    <col min="14622" max="14622" width="1.85546875" style="245" customWidth="1"/>
    <col min="14623" max="14623" width="17.85546875" style="245" customWidth="1"/>
    <col min="14624" max="14624" width="5.28515625" style="245" customWidth="1"/>
    <col min="14625" max="14625" width="16.7109375" style="245" customWidth="1"/>
    <col min="14626" max="14626" width="5.28515625" style="245" customWidth="1"/>
    <col min="14627" max="14627" width="14.42578125" style="245" customWidth="1"/>
    <col min="14628" max="14628" width="1.85546875" style="245" customWidth="1"/>
    <col min="14629" max="14629" width="16.7109375" style="245" customWidth="1"/>
    <col min="14630" max="14839" width="11" style="245"/>
    <col min="14840" max="14840" width="7.5703125" style="245" customWidth="1"/>
    <col min="14841" max="14841" width="15.5703125" style="245" customWidth="1"/>
    <col min="14842" max="14842" width="20.140625" style="245" customWidth="1"/>
    <col min="14843" max="14843" width="2.28515625" style="245" customWidth="1"/>
    <col min="14844" max="14844" width="17.42578125" style="245" customWidth="1"/>
    <col min="14845" max="14845" width="1.85546875" style="245" customWidth="1"/>
    <col min="14846" max="14846" width="18.7109375" style="245" customWidth="1"/>
    <col min="14847" max="14847" width="1.85546875" style="245" customWidth="1"/>
    <col min="14848" max="14848" width="23" style="245" customWidth="1"/>
    <col min="14849" max="14849" width="1.85546875" style="245" customWidth="1"/>
    <col min="14850" max="14850" width="17.42578125" style="245" customWidth="1"/>
    <col min="14851" max="14851" width="3" style="245" customWidth="1"/>
    <col min="14852" max="14852" width="16.28515625" style="245" customWidth="1"/>
    <col min="14853" max="14853" width="3" style="245" customWidth="1"/>
    <col min="14854" max="14854" width="14.140625" style="245" customWidth="1"/>
    <col min="14855" max="14855" width="2" style="245" customWidth="1"/>
    <col min="14856" max="14856" width="15.85546875" style="245" customWidth="1"/>
    <col min="14857" max="14857" width="3.140625" style="245" customWidth="1"/>
    <col min="14858" max="14858" width="17.85546875" style="245" customWidth="1"/>
    <col min="14859" max="14859" width="2.5703125" style="245" customWidth="1"/>
    <col min="14860" max="14860" width="15.5703125" style="245" customWidth="1"/>
    <col min="14861" max="14861" width="1.85546875" style="245" customWidth="1"/>
    <col min="14862" max="14862" width="14.140625" style="245" customWidth="1"/>
    <col min="14863" max="14863" width="11" style="245" customWidth="1"/>
    <col min="14864" max="14865" width="25" style="245" customWidth="1"/>
    <col min="14866" max="14866" width="1.85546875" style="245" customWidth="1"/>
    <col min="14867" max="14867" width="17.85546875" style="245" customWidth="1"/>
    <col min="14868" max="14868" width="1.85546875" style="245" customWidth="1"/>
    <col min="14869" max="14869" width="19" style="245" customWidth="1"/>
    <col min="14870" max="14870" width="1.85546875" style="245" customWidth="1"/>
    <col min="14871" max="14871" width="16.7109375" style="245" customWidth="1"/>
    <col min="14872" max="14872" width="1.85546875" style="245" customWidth="1"/>
    <col min="14873" max="14873" width="16.7109375" style="245" customWidth="1"/>
    <col min="14874" max="14874" width="1.85546875" style="245" customWidth="1"/>
    <col min="14875" max="14875" width="16.7109375" style="245" customWidth="1"/>
    <col min="14876" max="14876" width="1.85546875" style="245" customWidth="1"/>
    <col min="14877" max="14877" width="16.7109375" style="245" customWidth="1"/>
    <col min="14878" max="14878" width="1.85546875" style="245" customWidth="1"/>
    <col min="14879" max="14879" width="17.85546875" style="245" customWidth="1"/>
    <col min="14880" max="14880" width="5.28515625" style="245" customWidth="1"/>
    <col min="14881" max="14881" width="16.7109375" style="245" customWidth="1"/>
    <col min="14882" max="14882" width="5.28515625" style="245" customWidth="1"/>
    <col min="14883" max="14883" width="14.42578125" style="245" customWidth="1"/>
    <col min="14884" max="14884" width="1.85546875" style="245" customWidth="1"/>
    <col min="14885" max="14885" width="16.7109375" style="245" customWidth="1"/>
    <col min="14886" max="15095" width="11" style="245"/>
    <col min="15096" max="15096" width="7.5703125" style="245" customWidth="1"/>
    <col min="15097" max="15097" width="15.5703125" style="245" customWidth="1"/>
    <col min="15098" max="15098" width="20.140625" style="245" customWidth="1"/>
    <col min="15099" max="15099" width="2.28515625" style="245" customWidth="1"/>
    <col min="15100" max="15100" width="17.42578125" style="245" customWidth="1"/>
    <col min="15101" max="15101" width="1.85546875" style="245" customWidth="1"/>
    <col min="15102" max="15102" width="18.7109375" style="245" customWidth="1"/>
    <col min="15103" max="15103" width="1.85546875" style="245" customWidth="1"/>
    <col min="15104" max="15104" width="23" style="245" customWidth="1"/>
    <col min="15105" max="15105" width="1.85546875" style="245" customWidth="1"/>
    <col min="15106" max="15106" width="17.42578125" style="245" customWidth="1"/>
    <col min="15107" max="15107" width="3" style="245" customWidth="1"/>
    <col min="15108" max="15108" width="16.28515625" style="245" customWidth="1"/>
    <col min="15109" max="15109" width="3" style="245" customWidth="1"/>
    <col min="15110" max="15110" width="14.140625" style="245" customWidth="1"/>
    <col min="15111" max="15111" width="2" style="245" customWidth="1"/>
    <col min="15112" max="15112" width="15.85546875" style="245" customWidth="1"/>
    <col min="15113" max="15113" width="3.140625" style="245" customWidth="1"/>
    <col min="15114" max="15114" width="17.85546875" style="245" customWidth="1"/>
    <col min="15115" max="15115" width="2.5703125" style="245" customWidth="1"/>
    <col min="15116" max="15116" width="15.5703125" style="245" customWidth="1"/>
    <col min="15117" max="15117" width="1.85546875" style="245" customWidth="1"/>
    <col min="15118" max="15118" width="14.140625" style="245" customWidth="1"/>
    <col min="15119" max="15119" width="11" style="245" customWidth="1"/>
    <col min="15120" max="15121" width="25" style="245" customWidth="1"/>
    <col min="15122" max="15122" width="1.85546875" style="245" customWidth="1"/>
    <col min="15123" max="15123" width="17.85546875" style="245" customWidth="1"/>
    <col min="15124" max="15124" width="1.85546875" style="245" customWidth="1"/>
    <col min="15125" max="15125" width="19" style="245" customWidth="1"/>
    <col min="15126" max="15126" width="1.85546875" style="245" customWidth="1"/>
    <col min="15127" max="15127" width="16.7109375" style="245" customWidth="1"/>
    <col min="15128" max="15128" width="1.85546875" style="245" customWidth="1"/>
    <col min="15129" max="15129" width="16.7109375" style="245" customWidth="1"/>
    <col min="15130" max="15130" width="1.85546875" style="245" customWidth="1"/>
    <col min="15131" max="15131" width="16.7109375" style="245" customWidth="1"/>
    <col min="15132" max="15132" width="1.85546875" style="245" customWidth="1"/>
    <col min="15133" max="15133" width="16.7109375" style="245" customWidth="1"/>
    <col min="15134" max="15134" width="1.85546875" style="245" customWidth="1"/>
    <col min="15135" max="15135" width="17.85546875" style="245" customWidth="1"/>
    <col min="15136" max="15136" width="5.28515625" style="245" customWidth="1"/>
    <col min="15137" max="15137" width="16.7109375" style="245" customWidth="1"/>
    <col min="15138" max="15138" width="5.28515625" style="245" customWidth="1"/>
    <col min="15139" max="15139" width="14.42578125" style="245" customWidth="1"/>
    <col min="15140" max="15140" width="1.85546875" style="245" customWidth="1"/>
    <col min="15141" max="15141" width="16.7109375" style="245" customWidth="1"/>
    <col min="15142" max="15351" width="11" style="245"/>
    <col min="15352" max="15352" width="7.5703125" style="245" customWidth="1"/>
    <col min="15353" max="15353" width="15.5703125" style="245" customWidth="1"/>
    <col min="15354" max="15354" width="20.140625" style="245" customWidth="1"/>
    <col min="15355" max="15355" width="2.28515625" style="245" customWidth="1"/>
    <col min="15356" max="15356" width="17.42578125" style="245" customWidth="1"/>
    <col min="15357" max="15357" width="1.85546875" style="245" customWidth="1"/>
    <col min="15358" max="15358" width="18.7109375" style="245" customWidth="1"/>
    <col min="15359" max="15359" width="1.85546875" style="245" customWidth="1"/>
    <col min="15360" max="15360" width="23" style="245" customWidth="1"/>
    <col min="15361" max="15361" width="1.85546875" style="245" customWidth="1"/>
    <col min="15362" max="15362" width="17.42578125" style="245" customWidth="1"/>
    <col min="15363" max="15363" width="3" style="245" customWidth="1"/>
    <col min="15364" max="15364" width="16.28515625" style="245" customWidth="1"/>
    <col min="15365" max="15365" width="3" style="245" customWidth="1"/>
    <col min="15366" max="15366" width="14.140625" style="245" customWidth="1"/>
    <col min="15367" max="15367" width="2" style="245" customWidth="1"/>
    <col min="15368" max="15368" width="15.85546875" style="245" customWidth="1"/>
    <col min="15369" max="15369" width="3.140625" style="245" customWidth="1"/>
    <col min="15370" max="15370" width="17.85546875" style="245" customWidth="1"/>
    <col min="15371" max="15371" width="2.5703125" style="245" customWidth="1"/>
    <col min="15372" max="15372" width="15.5703125" style="245" customWidth="1"/>
    <col min="15373" max="15373" width="1.85546875" style="245" customWidth="1"/>
    <col min="15374" max="15374" width="14.140625" style="245" customWidth="1"/>
    <col min="15375" max="15375" width="11" style="245" customWidth="1"/>
    <col min="15376" max="15377" width="25" style="245" customWidth="1"/>
    <col min="15378" max="15378" width="1.85546875" style="245" customWidth="1"/>
    <col min="15379" max="15379" width="17.85546875" style="245" customWidth="1"/>
    <col min="15380" max="15380" width="1.85546875" style="245" customWidth="1"/>
    <col min="15381" max="15381" width="19" style="245" customWidth="1"/>
    <col min="15382" max="15382" width="1.85546875" style="245" customWidth="1"/>
    <col min="15383" max="15383" width="16.7109375" style="245" customWidth="1"/>
    <col min="15384" max="15384" width="1.85546875" style="245" customWidth="1"/>
    <col min="15385" max="15385" width="16.7109375" style="245" customWidth="1"/>
    <col min="15386" max="15386" width="1.85546875" style="245" customWidth="1"/>
    <col min="15387" max="15387" width="16.7109375" style="245" customWidth="1"/>
    <col min="15388" max="15388" width="1.85546875" style="245" customWidth="1"/>
    <col min="15389" max="15389" width="16.7109375" style="245" customWidth="1"/>
    <col min="15390" max="15390" width="1.85546875" style="245" customWidth="1"/>
    <col min="15391" max="15391" width="17.85546875" style="245" customWidth="1"/>
    <col min="15392" max="15392" width="5.28515625" style="245" customWidth="1"/>
    <col min="15393" max="15393" width="16.7109375" style="245" customWidth="1"/>
    <col min="15394" max="15394" width="5.28515625" style="245" customWidth="1"/>
    <col min="15395" max="15395" width="14.42578125" style="245" customWidth="1"/>
    <col min="15396" max="15396" width="1.85546875" style="245" customWidth="1"/>
    <col min="15397" max="15397" width="16.7109375" style="245" customWidth="1"/>
    <col min="15398" max="15607" width="11" style="245"/>
    <col min="15608" max="15608" width="7.5703125" style="245" customWidth="1"/>
    <col min="15609" max="15609" width="15.5703125" style="245" customWidth="1"/>
    <col min="15610" max="15610" width="20.140625" style="245" customWidth="1"/>
    <col min="15611" max="15611" width="2.28515625" style="245" customWidth="1"/>
    <col min="15612" max="15612" width="17.42578125" style="245" customWidth="1"/>
    <col min="15613" max="15613" width="1.85546875" style="245" customWidth="1"/>
    <col min="15614" max="15614" width="18.7109375" style="245" customWidth="1"/>
    <col min="15615" max="15615" width="1.85546875" style="245" customWidth="1"/>
    <col min="15616" max="15616" width="23" style="245" customWidth="1"/>
    <col min="15617" max="15617" width="1.85546875" style="245" customWidth="1"/>
    <col min="15618" max="15618" width="17.42578125" style="245" customWidth="1"/>
    <col min="15619" max="15619" width="3" style="245" customWidth="1"/>
    <col min="15620" max="15620" width="16.28515625" style="245" customWidth="1"/>
    <col min="15621" max="15621" width="3" style="245" customWidth="1"/>
    <col min="15622" max="15622" width="14.140625" style="245" customWidth="1"/>
    <col min="15623" max="15623" width="2" style="245" customWidth="1"/>
    <col min="15624" max="15624" width="15.85546875" style="245" customWidth="1"/>
    <col min="15625" max="15625" width="3.140625" style="245" customWidth="1"/>
    <col min="15626" max="15626" width="17.85546875" style="245" customWidth="1"/>
    <col min="15627" max="15627" width="2.5703125" style="245" customWidth="1"/>
    <col min="15628" max="15628" width="15.5703125" style="245" customWidth="1"/>
    <col min="15629" max="15629" width="1.85546875" style="245" customWidth="1"/>
    <col min="15630" max="15630" width="14.140625" style="245" customWidth="1"/>
    <col min="15631" max="15631" width="11" style="245" customWidth="1"/>
    <col min="15632" max="15633" width="25" style="245" customWidth="1"/>
    <col min="15634" max="15634" width="1.85546875" style="245" customWidth="1"/>
    <col min="15635" max="15635" width="17.85546875" style="245" customWidth="1"/>
    <col min="15636" max="15636" width="1.85546875" style="245" customWidth="1"/>
    <col min="15637" max="15637" width="19" style="245" customWidth="1"/>
    <col min="15638" max="15638" width="1.85546875" style="245" customWidth="1"/>
    <col min="15639" max="15639" width="16.7109375" style="245" customWidth="1"/>
    <col min="15640" max="15640" width="1.85546875" style="245" customWidth="1"/>
    <col min="15641" max="15641" width="16.7109375" style="245" customWidth="1"/>
    <col min="15642" max="15642" width="1.85546875" style="245" customWidth="1"/>
    <col min="15643" max="15643" width="16.7109375" style="245" customWidth="1"/>
    <col min="15644" max="15644" width="1.85546875" style="245" customWidth="1"/>
    <col min="15645" max="15645" width="16.7109375" style="245" customWidth="1"/>
    <col min="15646" max="15646" width="1.85546875" style="245" customWidth="1"/>
    <col min="15647" max="15647" width="17.85546875" style="245" customWidth="1"/>
    <col min="15648" max="15648" width="5.28515625" style="245" customWidth="1"/>
    <col min="15649" max="15649" width="16.7109375" style="245" customWidth="1"/>
    <col min="15650" max="15650" width="5.28515625" style="245" customWidth="1"/>
    <col min="15651" max="15651" width="14.42578125" style="245" customWidth="1"/>
    <col min="15652" max="15652" width="1.85546875" style="245" customWidth="1"/>
    <col min="15653" max="15653" width="16.7109375" style="245" customWidth="1"/>
    <col min="15654" max="15863" width="11" style="245"/>
    <col min="15864" max="15864" width="7.5703125" style="245" customWidth="1"/>
    <col min="15865" max="15865" width="15.5703125" style="245" customWidth="1"/>
    <col min="15866" max="15866" width="20.140625" style="245" customWidth="1"/>
    <col min="15867" max="15867" width="2.28515625" style="245" customWidth="1"/>
    <col min="15868" max="15868" width="17.42578125" style="245" customWidth="1"/>
    <col min="15869" max="15869" width="1.85546875" style="245" customWidth="1"/>
    <col min="15870" max="15870" width="18.7109375" style="245" customWidth="1"/>
    <col min="15871" max="15871" width="1.85546875" style="245" customWidth="1"/>
    <col min="15872" max="15872" width="23" style="245" customWidth="1"/>
    <col min="15873" max="15873" width="1.85546875" style="245" customWidth="1"/>
    <col min="15874" max="15874" width="17.42578125" style="245" customWidth="1"/>
    <col min="15875" max="15875" width="3" style="245" customWidth="1"/>
    <col min="15876" max="15876" width="16.28515625" style="245" customWidth="1"/>
    <col min="15877" max="15877" width="3" style="245" customWidth="1"/>
    <col min="15878" max="15878" width="14.140625" style="245" customWidth="1"/>
    <col min="15879" max="15879" width="2" style="245" customWidth="1"/>
    <col min="15880" max="15880" width="15.85546875" style="245" customWidth="1"/>
    <col min="15881" max="15881" width="3.140625" style="245" customWidth="1"/>
    <col min="15882" max="15882" width="17.85546875" style="245" customWidth="1"/>
    <col min="15883" max="15883" width="2.5703125" style="245" customWidth="1"/>
    <col min="15884" max="15884" width="15.5703125" style="245" customWidth="1"/>
    <col min="15885" max="15885" width="1.85546875" style="245" customWidth="1"/>
    <col min="15886" max="15886" width="14.140625" style="245" customWidth="1"/>
    <col min="15887" max="15887" width="11" style="245" customWidth="1"/>
    <col min="15888" max="15889" width="25" style="245" customWidth="1"/>
    <col min="15890" max="15890" width="1.85546875" style="245" customWidth="1"/>
    <col min="15891" max="15891" width="17.85546875" style="245" customWidth="1"/>
    <col min="15892" max="15892" width="1.85546875" style="245" customWidth="1"/>
    <col min="15893" max="15893" width="19" style="245" customWidth="1"/>
    <col min="15894" max="15894" width="1.85546875" style="245" customWidth="1"/>
    <col min="15895" max="15895" width="16.7109375" style="245" customWidth="1"/>
    <col min="15896" max="15896" width="1.85546875" style="245" customWidth="1"/>
    <col min="15897" max="15897" width="16.7109375" style="245" customWidth="1"/>
    <col min="15898" max="15898" width="1.85546875" style="245" customWidth="1"/>
    <col min="15899" max="15899" width="16.7109375" style="245" customWidth="1"/>
    <col min="15900" max="15900" width="1.85546875" style="245" customWidth="1"/>
    <col min="15901" max="15901" width="16.7109375" style="245" customWidth="1"/>
    <col min="15902" max="15902" width="1.85546875" style="245" customWidth="1"/>
    <col min="15903" max="15903" width="17.85546875" style="245" customWidth="1"/>
    <col min="15904" max="15904" width="5.28515625" style="245" customWidth="1"/>
    <col min="15905" max="15905" width="16.7109375" style="245" customWidth="1"/>
    <col min="15906" max="15906" width="5.28515625" style="245" customWidth="1"/>
    <col min="15907" max="15907" width="14.42578125" style="245" customWidth="1"/>
    <col min="15908" max="15908" width="1.85546875" style="245" customWidth="1"/>
    <col min="15909" max="15909" width="16.7109375" style="245" customWidth="1"/>
    <col min="15910" max="16119" width="11" style="245"/>
    <col min="16120" max="16120" width="7.5703125" style="245" customWidth="1"/>
    <col min="16121" max="16121" width="15.5703125" style="245" customWidth="1"/>
    <col min="16122" max="16122" width="20.140625" style="245" customWidth="1"/>
    <col min="16123" max="16123" width="2.28515625" style="245" customWidth="1"/>
    <col min="16124" max="16124" width="17.42578125" style="245" customWidth="1"/>
    <col min="16125" max="16125" width="1.85546875" style="245" customWidth="1"/>
    <col min="16126" max="16126" width="18.7109375" style="245" customWidth="1"/>
    <col min="16127" max="16127" width="1.85546875" style="245" customWidth="1"/>
    <col min="16128" max="16128" width="23" style="245" customWidth="1"/>
    <col min="16129" max="16129" width="1.85546875" style="245" customWidth="1"/>
    <col min="16130" max="16130" width="17.42578125" style="245" customWidth="1"/>
    <col min="16131" max="16131" width="3" style="245" customWidth="1"/>
    <col min="16132" max="16132" width="16.28515625" style="245" customWidth="1"/>
    <col min="16133" max="16133" width="3" style="245" customWidth="1"/>
    <col min="16134" max="16134" width="14.140625" style="245" customWidth="1"/>
    <col min="16135" max="16135" width="2" style="245" customWidth="1"/>
    <col min="16136" max="16136" width="15.85546875" style="245" customWidth="1"/>
    <col min="16137" max="16137" width="3.140625" style="245" customWidth="1"/>
    <col min="16138" max="16138" width="17.85546875" style="245" customWidth="1"/>
    <col min="16139" max="16139" width="2.5703125" style="245" customWidth="1"/>
    <col min="16140" max="16140" width="15.5703125" style="245" customWidth="1"/>
    <col min="16141" max="16141" width="1.85546875" style="245" customWidth="1"/>
    <col min="16142" max="16142" width="14.140625" style="245" customWidth="1"/>
    <col min="16143" max="16143" width="11" style="245" customWidth="1"/>
    <col min="16144" max="16145" width="25" style="245" customWidth="1"/>
    <col min="16146" max="16146" width="1.85546875" style="245" customWidth="1"/>
    <col min="16147" max="16147" width="17.85546875" style="245" customWidth="1"/>
    <col min="16148" max="16148" width="1.85546875" style="245" customWidth="1"/>
    <col min="16149" max="16149" width="19" style="245" customWidth="1"/>
    <col min="16150" max="16150" width="1.85546875" style="245" customWidth="1"/>
    <col min="16151" max="16151" width="16.7109375" style="245" customWidth="1"/>
    <col min="16152" max="16152" width="1.85546875" style="245" customWidth="1"/>
    <col min="16153" max="16153" width="16.7109375" style="245" customWidth="1"/>
    <col min="16154" max="16154" width="1.85546875" style="245" customWidth="1"/>
    <col min="16155" max="16155" width="16.7109375" style="245" customWidth="1"/>
    <col min="16156" max="16156" width="1.85546875" style="245" customWidth="1"/>
    <col min="16157" max="16157" width="16.7109375" style="245" customWidth="1"/>
    <col min="16158" max="16158" width="1.85546875" style="245" customWidth="1"/>
    <col min="16159" max="16159" width="17.85546875" style="245" customWidth="1"/>
    <col min="16160" max="16160" width="5.28515625" style="245" customWidth="1"/>
    <col min="16161" max="16161" width="16.7109375" style="245" customWidth="1"/>
    <col min="16162" max="16162" width="5.28515625" style="245" customWidth="1"/>
    <col min="16163" max="16163" width="14.42578125" style="245" customWidth="1"/>
    <col min="16164" max="16164" width="1.85546875" style="245" customWidth="1"/>
    <col min="16165" max="16165" width="16.7109375" style="245" customWidth="1"/>
    <col min="16166" max="16384" width="11" style="245"/>
  </cols>
  <sheetData>
    <row r="1" spans="1:37">
      <c r="A1" s="245"/>
      <c r="R1" s="254"/>
      <c r="S1" s="254"/>
      <c r="T1" s="254"/>
      <c r="U1" s="261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</row>
    <row r="2" spans="1:37">
      <c r="A2" s="245"/>
      <c r="C2" s="261" t="s">
        <v>159</v>
      </c>
      <c r="D2" s="261" t="s">
        <v>160</v>
      </c>
      <c r="E2" s="261" t="s">
        <v>161</v>
      </c>
      <c r="F2" s="261" t="s">
        <v>162</v>
      </c>
      <c r="G2" s="261" t="s">
        <v>163</v>
      </c>
      <c r="H2" s="261" t="s">
        <v>164</v>
      </c>
      <c r="I2" s="261" t="s">
        <v>252</v>
      </c>
      <c r="J2" s="261" t="s">
        <v>253</v>
      </c>
      <c r="K2" s="261" t="s">
        <v>254</v>
      </c>
      <c r="L2" s="263" t="s">
        <v>255</v>
      </c>
      <c r="M2" s="263" t="s">
        <v>256</v>
      </c>
      <c r="N2" s="263" t="s">
        <v>257</v>
      </c>
      <c r="R2" s="254"/>
      <c r="S2" s="254"/>
      <c r="T2" s="254"/>
      <c r="U2" s="261"/>
      <c r="V2" s="254"/>
      <c r="W2" s="254"/>
      <c r="X2" s="254"/>
      <c r="Y2" s="261"/>
      <c r="Z2" s="254"/>
      <c r="AA2" s="254"/>
      <c r="AB2" s="254"/>
      <c r="AC2" s="254"/>
      <c r="AD2" s="254"/>
      <c r="AE2" s="261"/>
      <c r="AF2" s="254"/>
      <c r="AG2" s="254"/>
      <c r="AH2" s="254"/>
      <c r="AI2" s="254"/>
      <c r="AJ2" s="254"/>
      <c r="AK2" s="254"/>
    </row>
    <row r="3" spans="1:37">
      <c r="A3" s="245"/>
      <c r="C3" s="254"/>
      <c r="D3" s="254"/>
      <c r="E3" s="261" t="s">
        <v>500</v>
      </c>
      <c r="F3" s="254"/>
      <c r="G3" s="254"/>
      <c r="H3" s="254"/>
      <c r="I3" s="254"/>
      <c r="J3" s="254"/>
      <c r="K3" s="254"/>
      <c r="L3" s="260"/>
      <c r="M3" s="260"/>
      <c r="N3" s="260"/>
      <c r="R3" s="254"/>
      <c r="S3" s="261"/>
      <c r="T3" s="254"/>
      <c r="U3" s="261"/>
      <c r="V3" s="254"/>
      <c r="W3" s="254"/>
      <c r="X3" s="254"/>
      <c r="Y3" s="261"/>
      <c r="Z3" s="254"/>
      <c r="AA3" s="261"/>
      <c r="AB3" s="254"/>
      <c r="AC3" s="261"/>
      <c r="AD3" s="254"/>
      <c r="AE3" s="261"/>
      <c r="AF3" s="254"/>
      <c r="AG3" s="261"/>
      <c r="AH3" s="254"/>
      <c r="AI3" s="261"/>
      <c r="AJ3" s="254"/>
      <c r="AK3" s="261"/>
    </row>
    <row r="4" spans="1:37">
      <c r="A4" s="245"/>
      <c r="C4" s="254"/>
      <c r="D4" s="254"/>
      <c r="E4" s="261" t="s">
        <v>501</v>
      </c>
      <c r="F4" s="254"/>
      <c r="H4" s="254"/>
      <c r="I4" s="254"/>
      <c r="J4" s="261" t="s">
        <v>502</v>
      </c>
      <c r="K4" s="261" t="s">
        <v>691</v>
      </c>
      <c r="L4" s="260"/>
      <c r="M4" s="260"/>
      <c r="N4" s="260"/>
      <c r="R4" s="254"/>
      <c r="S4" s="261"/>
      <c r="T4" s="254"/>
      <c r="U4" s="261"/>
      <c r="V4" s="254"/>
      <c r="W4" s="254"/>
      <c r="X4" s="254"/>
      <c r="Y4" s="261"/>
      <c r="Z4" s="254"/>
      <c r="AA4" s="261"/>
      <c r="AB4" s="254"/>
      <c r="AC4" s="261"/>
      <c r="AD4" s="254"/>
      <c r="AE4" s="261"/>
      <c r="AF4" s="254"/>
      <c r="AG4" s="261"/>
      <c r="AH4" s="254"/>
      <c r="AI4" s="261"/>
      <c r="AJ4" s="254"/>
      <c r="AK4" s="261"/>
    </row>
    <row r="5" spans="1:37">
      <c r="A5" s="245"/>
      <c r="B5" s="261" t="s">
        <v>503</v>
      </c>
      <c r="C5" s="254"/>
      <c r="D5" s="261" t="s">
        <v>504</v>
      </c>
      <c r="E5" s="261" t="s">
        <v>505</v>
      </c>
      <c r="F5" s="254"/>
      <c r="G5" s="261" t="s">
        <v>285</v>
      </c>
      <c r="H5" s="261" t="s">
        <v>285</v>
      </c>
      <c r="I5" s="261" t="s">
        <v>506</v>
      </c>
      <c r="J5" s="261" t="s">
        <v>507</v>
      </c>
      <c r="K5" s="261" t="s">
        <v>771</v>
      </c>
      <c r="L5" s="263" t="s">
        <v>191</v>
      </c>
      <c r="M5" s="263" t="s">
        <v>508</v>
      </c>
      <c r="N5" s="263" t="s">
        <v>285</v>
      </c>
      <c r="R5" s="254"/>
      <c r="S5" s="261"/>
      <c r="T5" s="254"/>
      <c r="U5" s="261"/>
      <c r="V5" s="254"/>
      <c r="W5" s="261"/>
      <c r="X5" s="254"/>
      <c r="Y5" s="261"/>
      <c r="Z5" s="254"/>
      <c r="AA5" s="261"/>
      <c r="AB5" s="254"/>
      <c r="AC5" s="261"/>
      <c r="AD5" s="254"/>
      <c r="AE5" s="261"/>
      <c r="AF5" s="254"/>
      <c r="AG5" s="261"/>
      <c r="AH5" s="254"/>
      <c r="AI5" s="261"/>
      <c r="AJ5" s="254"/>
      <c r="AK5" s="261"/>
    </row>
    <row r="6" spans="1:37">
      <c r="A6" s="245"/>
      <c r="B6" s="261" t="s">
        <v>509</v>
      </c>
      <c r="C6" s="261" t="s">
        <v>510</v>
      </c>
      <c r="D6" s="261" t="s">
        <v>511</v>
      </c>
      <c r="E6" s="261" t="s">
        <v>512</v>
      </c>
      <c r="F6" s="254"/>
      <c r="G6" s="261" t="s">
        <v>181</v>
      </c>
      <c r="H6" s="261" t="s">
        <v>510</v>
      </c>
      <c r="I6" s="261" t="s">
        <v>513</v>
      </c>
      <c r="J6" s="261" t="s">
        <v>770</v>
      </c>
      <c r="K6" s="261" t="s">
        <v>514</v>
      </c>
      <c r="L6" s="263" t="s">
        <v>514</v>
      </c>
      <c r="M6" s="263" t="s">
        <v>191</v>
      </c>
      <c r="N6" s="263" t="s">
        <v>515</v>
      </c>
    </row>
    <row r="7" spans="1:37">
      <c r="A7" s="245"/>
      <c r="B7" s="261" t="s">
        <v>516</v>
      </c>
      <c r="C7" s="261" t="s">
        <v>517</v>
      </c>
      <c r="D7" s="261" t="s">
        <v>518</v>
      </c>
      <c r="E7" s="261" t="s">
        <v>518</v>
      </c>
      <c r="F7" s="261" t="s">
        <v>190</v>
      </c>
      <c r="G7" s="261" t="s">
        <v>519</v>
      </c>
      <c r="H7" s="261" t="s">
        <v>520</v>
      </c>
      <c r="I7" s="261" t="s">
        <v>521</v>
      </c>
      <c r="J7" s="261" t="s">
        <v>522</v>
      </c>
      <c r="K7" s="261" t="s">
        <v>523</v>
      </c>
      <c r="L7" s="263" t="s">
        <v>523</v>
      </c>
      <c r="M7" s="263" t="s">
        <v>524</v>
      </c>
      <c r="N7" s="263" t="s">
        <v>525</v>
      </c>
    </row>
    <row r="8" spans="1:37" hidden="1">
      <c r="A8" s="269">
        <v>1</v>
      </c>
      <c r="B8" s="261" t="s">
        <v>526</v>
      </c>
      <c r="C8" s="270">
        <v>3298951</v>
      </c>
      <c r="D8" s="270">
        <v>963839</v>
      </c>
      <c r="E8" s="270">
        <v>348748</v>
      </c>
      <c r="F8" s="270">
        <v>807047</v>
      </c>
      <c r="G8" s="270">
        <v>1220170</v>
      </c>
      <c r="H8" s="270">
        <v>-40853</v>
      </c>
      <c r="I8" s="270">
        <v>807047</v>
      </c>
      <c r="J8" s="270">
        <v>766194</v>
      </c>
      <c r="K8" s="270"/>
      <c r="L8" s="268">
        <v>628460</v>
      </c>
      <c r="N8" s="268">
        <v>137734</v>
      </c>
      <c r="S8" s="270"/>
      <c r="U8" s="270"/>
      <c r="W8" s="270"/>
      <c r="Y8" s="270"/>
      <c r="AA8" s="270"/>
      <c r="AC8" s="270"/>
      <c r="AE8" s="270"/>
      <c r="AG8" s="270"/>
      <c r="AK8" s="270"/>
    </row>
    <row r="9" spans="1:37" hidden="1">
      <c r="A9" s="269">
        <v>3</v>
      </c>
    </row>
    <row r="10" spans="1:37" hidden="1">
      <c r="A10" s="269">
        <v>4</v>
      </c>
      <c r="B10" s="261" t="s">
        <v>527</v>
      </c>
      <c r="C10" s="270">
        <v>217534</v>
      </c>
      <c r="D10" s="270">
        <v>40331</v>
      </c>
      <c r="E10" s="270">
        <v>51130</v>
      </c>
      <c r="F10" s="270">
        <v>36511</v>
      </c>
      <c r="G10" s="270">
        <v>81883</v>
      </c>
      <c r="H10" s="270">
        <v>7679</v>
      </c>
      <c r="I10" s="270">
        <v>46521</v>
      </c>
      <c r="J10" s="270">
        <v>54200</v>
      </c>
      <c r="K10" s="270"/>
      <c r="L10" s="268">
        <v>6937</v>
      </c>
      <c r="N10" s="268">
        <v>47263</v>
      </c>
      <c r="S10" s="270"/>
      <c r="U10" s="270"/>
      <c r="W10" s="270"/>
      <c r="Y10" s="270"/>
      <c r="AA10" s="270"/>
      <c r="AC10" s="270"/>
      <c r="AE10" s="270"/>
      <c r="AG10" s="270"/>
      <c r="AK10" s="270"/>
    </row>
    <row r="11" spans="1:37" hidden="1">
      <c r="A11" s="269">
        <v>5</v>
      </c>
      <c r="B11" s="261" t="s">
        <v>528</v>
      </c>
      <c r="C11" s="270">
        <v>189542</v>
      </c>
      <c r="D11" s="270">
        <v>49347</v>
      </c>
      <c r="E11" s="270">
        <v>25195</v>
      </c>
      <c r="F11" s="270">
        <v>39083</v>
      </c>
      <c r="G11" s="270">
        <v>98889</v>
      </c>
      <c r="H11" s="270">
        <v>-22972</v>
      </c>
      <c r="I11" s="270">
        <v>42586</v>
      </c>
      <c r="J11" s="270">
        <v>19614</v>
      </c>
      <c r="K11" s="270"/>
      <c r="L11" s="268">
        <v>914</v>
      </c>
      <c r="N11" s="268">
        <v>18700</v>
      </c>
      <c r="S11" s="270"/>
      <c r="U11" s="270"/>
      <c r="W11" s="270"/>
      <c r="Y11" s="270"/>
      <c r="AA11" s="270"/>
      <c r="AC11" s="270"/>
      <c r="AE11" s="270"/>
      <c r="AG11" s="270"/>
      <c r="AK11" s="270"/>
    </row>
    <row r="12" spans="1:37" hidden="1">
      <c r="A12" s="269">
        <v>6</v>
      </c>
      <c r="B12" s="261" t="s">
        <v>529</v>
      </c>
      <c r="C12" s="270">
        <v>341863</v>
      </c>
      <c r="D12" s="270">
        <v>76460</v>
      </c>
      <c r="E12" s="270">
        <v>182743</v>
      </c>
      <c r="F12" s="270">
        <v>41237</v>
      </c>
      <c r="G12" s="270">
        <v>105740</v>
      </c>
      <c r="H12" s="270">
        <v>-64317</v>
      </c>
      <c r="I12" s="270">
        <v>94441</v>
      </c>
      <c r="J12" s="270">
        <v>30124</v>
      </c>
      <c r="K12" s="270"/>
      <c r="L12" s="268">
        <v>73</v>
      </c>
      <c r="N12" s="268">
        <v>30051</v>
      </c>
      <c r="S12" s="270"/>
      <c r="U12" s="270"/>
      <c r="W12" s="270"/>
      <c r="Y12" s="270"/>
      <c r="AA12" s="270"/>
      <c r="AC12" s="270"/>
      <c r="AE12" s="270"/>
      <c r="AG12" s="270"/>
      <c r="AK12" s="270"/>
    </row>
    <row r="13" spans="1:37" hidden="1">
      <c r="A13" s="269">
        <v>7</v>
      </c>
      <c r="B13" s="261" t="s">
        <v>530</v>
      </c>
      <c r="C13" s="270">
        <v>502589</v>
      </c>
      <c r="D13" s="270">
        <v>92990</v>
      </c>
      <c r="E13" s="270">
        <v>269625</v>
      </c>
      <c r="F13" s="270">
        <v>42870</v>
      </c>
      <c r="G13" s="270">
        <v>118861</v>
      </c>
      <c r="H13" s="270">
        <v>-21757</v>
      </c>
      <c r="I13" s="270">
        <v>48941</v>
      </c>
      <c r="J13" s="270">
        <v>27184</v>
      </c>
      <c r="K13" s="270"/>
      <c r="L13" s="268">
        <v>4410</v>
      </c>
      <c r="N13" s="268">
        <v>22774</v>
      </c>
      <c r="S13" s="270"/>
      <c r="U13" s="270"/>
      <c r="W13" s="270"/>
      <c r="Y13" s="270"/>
      <c r="AA13" s="270"/>
      <c r="AC13" s="270"/>
      <c r="AE13" s="270"/>
      <c r="AG13" s="270"/>
      <c r="AH13" s="267"/>
      <c r="AK13" s="270"/>
    </row>
    <row r="14" spans="1:37" hidden="1">
      <c r="A14" s="269">
        <v>8</v>
      </c>
      <c r="B14" s="261" t="s">
        <v>531</v>
      </c>
      <c r="C14" s="270">
        <v>1067604</v>
      </c>
      <c r="D14" s="270">
        <v>115430</v>
      </c>
      <c r="E14" s="270">
        <v>945442</v>
      </c>
      <c r="F14" s="270">
        <v>49355</v>
      </c>
      <c r="G14" s="270">
        <v>145610</v>
      </c>
      <c r="H14" s="270">
        <v>-188233</v>
      </c>
      <c r="I14" s="270">
        <v>55427</v>
      </c>
      <c r="J14" s="270">
        <v>-132806</v>
      </c>
      <c r="K14" s="270"/>
      <c r="L14" s="268">
        <v>0</v>
      </c>
      <c r="N14" s="268">
        <v>-132806</v>
      </c>
      <c r="P14" s="268"/>
      <c r="S14" s="270"/>
      <c r="U14" s="270"/>
      <c r="W14" s="270"/>
      <c r="Y14" s="270"/>
      <c r="AA14" s="270"/>
      <c r="AC14" s="270"/>
      <c r="AE14" s="270"/>
      <c r="AG14" s="270"/>
      <c r="AH14" s="254"/>
      <c r="AK14" s="270"/>
    </row>
    <row r="15" spans="1:37" hidden="1">
      <c r="A15" s="269">
        <v>9</v>
      </c>
      <c r="B15" s="261"/>
      <c r="C15" s="270"/>
      <c r="D15" s="270"/>
      <c r="E15" s="270"/>
      <c r="F15" s="270"/>
      <c r="G15" s="270"/>
      <c r="H15" s="270"/>
      <c r="I15" s="270"/>
      <c r="J15" s="270"/>
      <c r="K15" s="270"/>
      <c r="L15" s="268"/>
      <c r="N15" s="268"/>
      <c r="P15" s="268"/>
      <c r="S15" s="270"/>
      <c r="U15" s="270"/>
      <c r="W15" s="270"/>
      <c r="Y15" s="270"/>
      <c r="AA15" s="270"/>
      <c r="AC15" s="270"/>
      <c r="AE15" s="270"/>
      <c r="AG15" s="270"/>
      <c r="AH15" s="254"/>
      <c r="AK15" s="270"/>
    </row>
    <row r="16" spans="1:37" hidden="1">
      <c r="A16" s="269">
        <v>10</v>
      </c>
      <c r="B16" s="261" t="s">
        <v>532</v>
      </c>
      <c r="C16" s="270">
        <v>1485741</v>
      </c>
      <c r="D16" s="270">
        <v>114960</v>
      </c>
      <c r="E16" s="270">
        <v>1255810</v>
      </c>
      <c r="F16" s="270">
        <v>57967</v>
      </c>
      <c r="G16" s="270">
        <v>153763</v>
      </c>
      <c r="H16" s="270">
        <v>-96759</v>
      </c>
      <c r="I16" s="270">
        <v>64039</v>
      </c>
      <c r="J16" s="270">
        <v>-32720</v>
      </c>
      <c r="K16" s="270"/>
      <c r="L16" s="268">
        <v>0</v>
      </c>
      <c r="N16" s="268">
        <v>-32720</v>
      </c>
      <c r="S16" s="270"/>
      <c r="U16" s="270"/>
      <c r="W16" s="270"/>
      <c r="Y16" s="270"/>
      <c r="AA16" s="270"/>
      <c r="AC16" s="270"/>
      <c r="AE16" s="270"/>
      <c r="AG16" s="270"/>
      <c r="AH16" s="254"/>
      <c r="AK16" s="270"/>
    </row>
    <row r="17" spans="1:37" hidden="1">
      <c r="A17" s="269">
        <v>11</v>
      </c>
      <c r="B17" s="261" t="s">
        <v>533</v>
      </c>
      <c r="C17" s="270">
        <v>2248654</v>
      </c>
      <c r="D17" s="270">
        <v>146870</v>
      </c>
      <c r="E17" s="270">
        <v>1898859</v>
      </c>
      <c r="F17" s="270">
        <v>67644</v>
      </c>
      <c r="G17" s="270">
        <v>170942</v>
      </c>
      <c r="H17" s="270">
        <v>-35661</v>
      </c>
      <c r="I17" s="270">
        <v>257382</v>
      </c>
      <c r="J17" s="270">
        <v>221721</v>
      </c>
      <c r="K17" s="270"/>
      <c r="L17" s="268">
        <v>192294</v>
      </c>
      <c r="N17" s="268">
        <v>29427</v>
      </c>
      <c r="S17" s="270"/>
      <c r="U17" s="270"/>
      <c r="W17" s="270"/>
      <c r="Y17" s="270"/>
      <c r="AA17" s="270"/>
      <c r="AC17" s="270"/>
      <c r="AE17" s="270"/>
      <c r="AG17" s="270"/>
      <c r="AH17" s="267"/>
      <c r="AK17" s="270"/>
    </row>
    <row r="18" spans="1:37" hidden="1">
      <c r="A18" s="269">
        <v>12</v>
      </c>
      <c r="B18" s="261" t="s">
        <v>534</v>
      </c>
      <c r="C18" s="270">
        <v>2371829</v>
      </c>
      <c r="D18" s="270">
        <v>137664</v>
      </c>
      <c r="E18" s="270">
        <v>1898178</v>
      </c>
      <c r="F18" s="270">
        <v>75711</v>
      </c>
      <c r="G18" s="270">
        <v>173888</v>
      </c>
      <c r="H18" s="270">
        <v>86388</v>
      </c>
      <c r="I18" s="270">
        <v>75711</v>
      </c>
      <c r="J18" s="270">
        <v>162099</v>
      </c>
      <c r="K18" s="270"/>
      <c r="L18" s="268">
        <v>37354</v>
      </c>
      <c r="N18" s="268">
        <v>124745</v>
      </c>
      <c r="S18" s="270"/>
      <c r="U18" s="270"/>
      <c r="W18" s="270"/>
      <c r="Y18" s="270"/>
      <c r="AA18" s="270"/>
      <c r="AC18" s="270"/>
      <c r="AE18" s="270"/>
      <c r="AG18" s="270"/>
      <c r="AK18" s="270"/>
    </row>
    <row r="19" spans="1:37" hidden="1">
      <c r="A19" s="269">
        <v>13</v>
      </c>
      <c r="B19" s="261" t="s">
        <v>535</v>
      </c>
      <c r="C19" s="270">
        <v>2179326</v>
      </c>
      <c r="D19" s="270">
        <v>135632</v>
      </c>
      <c r="E19" s="270">
        <v>1895153</v>
      </c>
      <c r="F19" s="270">
        <v>84162</v>
      </c>
      <c r="G19" s="270">
        <v>175257</v>
      </c>
      <c r="H19" s="270">
        <v>-110878</v>
      </c>
      <c r="I19" s="270">
        <v>84162</v>
      </c>
      <c r="J19" s="270">
        <v>-26716</v>
      </c>
      <c r="K19" s="270"/>
      <c r="L19" s="268">
        <v>10587</v>
      </c>
      <c r="N19" s="268">
        <v>-37303</v>
      </c>
      <c r="S19" s="270"/>
      <c r="U19" s="270"/>
      <c r="W19" s="270"/>
      <c r="Y19" s="270"/>
      <c r="AA19" s="270"/>
      <c r="AC19" s="270"/>
      <c r="AE19" s="270"/>
      <c r="AG19" s="270"/>
      <c r="AK19" s="270"/>
    </row>
    <row r="20" spans="1:37" hidden="1">
      <c r="A20" s="269">
        <v>14</v>
      </c>
      <c r="B20" s="261" t="s">
        <v>536</v>
      </c>
      <c r="C20" s="270">
        <v>2014040</v>
      </c>
      <c r="D20" s="270">
        <v>154184</v>
      </c>
      <c r="E20" s="270">
        <v>1826711</v>
      </c>
      <c r="F20" s="270">
        <v>91552</v>
      </c>
      <c r="G20" s="270">
        <v>199448</v>
      </c>
      <c r="H20" s="270">
        <v>-257855</v>
      </c>
      <c r="I20" s="270">
        <v>91552</v>
      </c>
      <c r="J20" s="270">
        <v>-166303</v>
      </c>
      <c r="K20" s="270"/>
      <c r="L20" s="268">
        <v>2471</v>
      </c>
      <c r="N20" s="268">
        <v>-168774</v>
      </c>
      <c r="S20" s="270"/>
      <c r="U20" s="270"/>
      <c r="W20" s="270"/>
      <c r="Y20" s="270"/>
      <c r="AA20" s="270"/>
      <c r="AC20" s="270"/>
      <c r="AE20" s="270"/>
      <c r="AG20" s="270"/>
      <c r="AK20" s="270"/>
    </row>
    <row r="21" spans="1:37" hidden="1">
      <c r="A21" s="269">
        <v>15</v>
      </c>
    </row>
    <row r="22" spans="1:37" hidden="1">
      <c r="A22" s="269">
        <v>16</v>
      </c>
      <c r="B22" s="261" t="s">
        <v>537</v>
      </c>
      <c r="C22" s="270">
        <v>2303479</v>
      </c>
      <c r="D22" s="270">
        <v>183326</v>
      </c>
      <c r="E22" s="270">
        <v>1796029</v>
      </c>
      <c r="F22" s="270">
        <v>98288</v>
      </c>
      <c r="G22" s="270">
        <v>204416</v>
      </c>
      <c r="H22" s="270">
        <v>21420</v>
      </c>
      <c r="I22" s="270">
        <v>98288</v>
      </c>
      <c r="J22" s="270">
        <v>119708</v>
      </c>
      <c r="K22" s="270"/>
      <c r="L22" s="268">
        <v>149778</v>
      </c>
      <c r="N22" s="268">
        <v>-30070</v>
      </c>
      <c r="S22" s="270"/>
      <c r="U22" s="270"/>
      <c r="W22" s="270"/>
      <c r="Y22" s="270"/>
      <c r="AA22" s="270"/>
      <c r="AC22" s="270"/>
      <c r="AE22" s="270"/>
      <c r="AG22" s="270"/>
      <c r="AK22" s="270"/>
    </row>
    <row r="23" spans="1:37" hidden="1">
      <c r="A23" s="269">
        <v>17</v>
      </c>
      <c r="B23" s="261" t="s">
        <v>538</v>
      </c>
      <c r="C23" s="270">
        <v>2273508</v>
      </c>
      <c r="D23" s="270">
        <v>173694</v>
      </c>
      <c r="E23" s="270">
        <v>1760205</v>
      </c>
      <c r="F23" s="270">
        <v>100104</v>
      </c>
      <c r="G23" s="270">
        <v>189446</v>
      </c>
      <c r="H23" s="270">
        <v>50059</v>
      </c>
      <c r="I23" s="270">
        <v>100104</v>
      </c>
      <c r="J23" s="270">
        <v>150163</v>
      </c>
      <c r="K23" s="270"/>
      <c r="L23" s="268">
        <v>32875</v>
      </c>
      <c r="N23" s="268">
        <v>117288</v>
      </c>
      <c r="S23" s="270"/>
      <c r="U23" s="270"/>
      <c r="W23" s="270"/>
      <c r="Y23" s="270"/>
      <c r="AA23" s="270"/>
      <c r="AC23" s="270"/>
      <c r="AE23" s="270"/>
      <c r="AG23" s="270"/>
      <c r="AK23" s="270"/>
    </row>
    <row r="24" spans="1:37" hidden="1">
      <c r="A24" s="269">
        <v>18</v>
      </c>
      <c r="B24" s="261" t="s">
        <v>539</v>
      </c>
      <c r="C24" s="270">
        <v>2315035</v>
      </c>
      <c r="D24" s="270">
        <v>198721</v>
      </c>
      <c r="E24" s="270">
        <v>1527829</v>
      </c>
      <c r="F24" s="270">
        <v>105338</v>
      </c>
      <c r="G24" s="270">
        <v>197462</v>
      </c>
      <c r="H24" s="270">
        <v>285685</v>
      </c>
      <c r="I24" s="270">
        <v>105338</v>
      </c>
      <c r="J24" s="270">
        <v>391023</v>
      </c>
      <c r="K24" s="270"/>
      <c r="L24" s="268">
        <v>63336</v>
      </c>
      <c r="N24" s="268">
        <v>327687</v>
      </c>
      <c r="S24" s="270"/>
      <c r="U24" s="270"/>
      <c r="W24" s="270"/>
      <c r="Y24" s="270"/>
      <c r="AA24" s="270"/>
      <c r="AC24" s="270"/>
      <c r="AE24" s="270"/>
      <c r="AG24" s="270"/>
      <c r="AK24" s="270"/>
    </row>
    <row r="25" spans="1:37" hidden="1">
      <c r="A25" s="269">
        <v>19</v>
      </c>
      <c r="B25" s="261" t="s">
        <v>540</v>
      </c>
      <c r="C25" s="270">
        <v>2482482</v>
      </c>
      <c r="D25" s="270">
        <v>216777</v>
      </c>
      <c r="E25" s="270">
        <v>1572046</v>
      </c>
      <c r="F25" s="270">
        <v>103047</v>
      </c>
      <c r="G25" s="270">
        <v>167559</v>
      </c>
      <c r="H25" s="270">
        <v>423053</v>
      </c>
      <c r="I25" s="270">
        <v>103047</v>
      </c>
      <c r="J25" s="270">
        <v>526100</v>
      </c>
      <c r="K25" s="270"/>
      <c r="L25" s="268">
        <v>114583</v>
      </c>
      <c r="N25" s="268">
        <v>411517</v>
      </c>
      <c r="S25" s="270"/>
      <c r="U25" s="270"/>
      <c r="W25" s="270"/>
      <c r="Y25" s="270"/>
      <c r="AA25" s="270"/>
      <c r="AC25" s="270"/>
      <c r="AE25" s="270"/>
      <c r="AG25" s="270"/>
      <c r="AK25" s="270"/>
    </row>
    <row r="26" spans="1:37" hidden="1">
      <c r="A26" s="269">
        <v>20</v>
      </c>
      <c r="B26" s="261" t="s">
        <v>541</v>
      </c>
      <c r="C26" s="270">
        <v>2142645</v>
      </c>
      <c r="D26" s="270">
        <v>287360</v>
      </c>
      <c r="E26" s="270">
        <v>1821930</v>
      </c>
      <c r="F26" s="270">
        <v>110403</v>
      </c>
      <c r="G26" s="270">
        <v>169711</v>
      </c>
      <c r="H26" s="270">
        <v>-246759</v>
      </c>
      <c r="I26" s="270">
        <v>110403</v>
      </c>
      <c r="J26" s="270">
        <v>-136356</v>
      </c>
      <c r="K26" s="270"/>
      <c r="L26" s="268">
        <v>57543</v>
      </c>
      <c r="N26" s="268">
        <v>-193899</v>
      </c>
      <c r="S26" s="270"/>
      <c r="U26" s="270"/>
      <c r="W26" s="270"/>
      <c r="Y26" s="270"/>
      <c r="AA26" s="270"/>
      <c r="AC26" s="270"/>
      <c r="AE26" s="270"/>
      <c r="AG26" s="270"/>
      <c r="AK26" s="270"/>
    </row>
    <row r="27" spans="1:37" hidden="1">
      <c r="A27" s="269">
        <v>21</v>
      </c>
      <c r="B27" s="261"/>
      <c r="C27" s="270"/>
      <c r="D27" s="270"/>
      <c r="E27" s="270"/>
      <c r="F27" s="270"/>
      <c r="G27" s="270"/>
      <c r="H27" s="270"/>
      <c r="I27" s="270"/>
      <c r="J27" s="270"/>
      <c r="K27" s="270"/>
      <c r="L27" s="268"/>
      <c r="N27" s="268"/>
      <c r="S27" s="270"/>
      <c r="U27" s="270"/>
      <c r="W27" s="270"/>
      <c r="Y27" s="270"/>
      <c r="AA27" s="270"/>
      <c r="AC27" s="270"/>
      <c r="AE27" s="270"/>
      <c r="AG27" s="270"/>
      <c r="AK27" s="270"/>
    </row>
    <row r="28" spans="1:37" hidden="1">
      <c r="A28" s="269">
        <v>22</v>
      </c>
      <c r="B28" s="261" t="s">
        <v>542</v>
      </c>
      <c r="C28" s="270">
        <v>2233989</v>
      </c>
      <c r="D28" s="270">
        <v>309915</v>
      </c>
      <c r="E28" s="270">
        <v>1868863</v>
      </c>
      <c r="F28" s="301">
        <v>118143</v>
      </c>
      <c r="G28" s="270">
        <v>186455</v>
      </c>
      <c r="H28" s="270">
        <v>-249387</v>
      </c>
      <c r="I28" s="270">
        <v>118143</v>
      </c>
      <c r="J28" s="270">
        <v>-131244</v>
      </c>
      <c r="K28" s="270"/>
      <c r="L28" s="268">
        <v>117974</v>
      </c>
      <c r="N28" s="268">
        <v>-249218</v>
      </c>
      <c r="S28" s="270"/>
      <c r="U28" s="270"/>
      <c r="W28" s="270"/>
      <c r="Y28" s="270"/>
      <c r="AA28" s="270"/>
      <c r="AC28" s="270"/>
      <c r="AE28" s="270"/>
      <c r="AG28" s="270"/>
      <c r="AK28" s="270"/>
    </row>
    <row r="29" spans="1:37" hidden="1">
      <c r="A29" s="269">
        <v>23</v>
      </c>
      <c r="B29" s="273">
        <v>1994</v>
      </c>
      <c r="C29" s="274">
        <v>2536059</v>
      </c>
      <c r="D29" s="270">
        <v>316352</v>
      </c>
      <c r="E29" s="270">
        <v>1934944</v>
      </c>
      <c r="F29" s="301">
        <v>125396</v>
      </c>
      <c r="G29" s="270">
        <v>197222</v>
      </c>
      <c r="H29" s="270">
        <v>-37855</v>
      </c>
      <c r="I29" s="270">
        <v>125396</v>
      </c>
      <c r="J29" s="270">
        <v>87541</v>
      </c>
      <c r="K29" s="270"/>
      <c r="L29" s="268">
        <v>135018</v>
      </c>
      <c r="N29" s="268">
        <v>-47477</v>
      </c>
      <c r="S29" s="270"/>
      <c r="U29" s="270"/>
      <c r="W29" s="270"/>
      <c r="Y29" s="270"/>
      <c r="AA29" s="270"/>
      <c r="AC29" s="270"/>
      <c r="AE29" s="270"/>
      <c r="AG29" s="270"/>
      <c r="AK29" s="270"/>
    </row>
    <row r="30" spans="1:37" hidden="1">
      <c r="A30" s="269">
        <v>24</v>
      </c>
      <c r="B30" s="273">
        <v>1995</v>
      </c>
      <c r="C30" s="274">
        <v>2704285</v>
      </c>
      <c r="D30" s="270">
        <v>327420</v>
      </c>
      <c r="E30" s="270">
        <v>1915529</v>
      </c>
      <c r="F30" s="301">
        <v>141798</v>
      </c>
      <c r="G30" s="270">
        <v>215850</v>
      </c>
      <c r="H30" s="270">
        <v>103688</v>
      </c>
      <c r="I30" s="270">
        <v>141798</v>
      </c>
      <c r="J30" s="270">
        <v>245486</v>
      </c>
      <c r="K30" s="270"/>
      <c r="L30" s="268">
        <v>196544</v>
      </c>
      <c r="N30" s="268">
        <v>48942</v>
      </c>
      <c r="S30" s="270"/>
      <c r="U30" s="270"/>
      <c r="W30" s="270"/>
      <c r="Y30" s="270"/>
      <c r="AA30" s="270"/>
      <c r="AC30" s="270"/>
      <c r="AE30" s="270"/>
      <c r="AG30" s="270"/>
      <c r="AK30" s="270"/>
    </row>
    <row r="31" spans="1:37" hidden="1">
      <c r="A31" s="269">
        <v>25</v>
      </c>
      <c r="B31" s="273">
        <v>1996</v>
      </c>
      <c r="C31" s="270">
        <v>2744510</v>
      </c>
      <c r="D31" s="270">
        <v>366808</v>
      </c>
      <c r="E31" s="270">
        <v>1959406</v>
      </c>
      <c r="F31" s="270">
        <v>151122</v>
      </c>
      <c r="G31" s="270">
        <v>208509</v>
      </c>
      <c r="H31" s="270">
        <v>58665</v>
      </c>
      <c r="I31" s="270">
        <v>154024</v>
      </c>
      <c r="J31" s="270">
        <v>197689</v>
      </c>
      <c r="K31" s="270"/>
      <c r="L31" s="268">
        <v>135010</v>
      </c>
      <c r="M31" s="268"/>
      <c r="N31" s="268">
        <v>62679</v>
      </c>
      <c r="S31" s="270"/>
      <c r="U31" s="270"/>
      <c r="W31" s="270"/>
      <c r="Y31" s="270"/>
      <c r="AA31" s="270"/>
      <c r="AC31" s="270"/>
      <c r="AE31" s="270"/>
      <c r="AF31" s="254"/>
      <c r="AG31" s="270"/>
      <c r="AK31" s="270"/>
    </row>
    <row r="32" spans="1:37" hidden="1">
      <c r="A32" s="269">
        <v>26</v>
      </c>
      <c r="B32" s="273">
        <v>1997</v>
      </c>
      <c r="C32" s="270">
        <v>1996439</v>
      </c>
      <c r="D32" s="245">
        <v>612961</v>
      </c>
      <c r="E32" s="245">
        <v>924789</v>
      </c>
      <c r="F32" s="245">
        <v>148215</v>
      </c>
      <c r="G32" s="245">
        <v>197238</v>
      </c>
      <c r="H32" s="270">
        <v>113236</v>
      </c>
      <c r="I32" s="270">
        <v>105956</v>
      </c>
      <c r="J32" s="270">
        <v>219192</v>
      </c>
      <c r="K32" s="270"/>
      <c r="L32" s="253">
        <v>82971</v>
      </c>
      <c r="M32" s="268">
        <v>25143</v>
      </c>
      <c r="N32" s="268">
        <v>111078</v>
      </c>
    </row>
    <row r="33" spans="1:37" hidden="1">
      <c r="A33" s="269">
        <v>27</v>
      </c>
      <c r="B33" s="275"/>
      <c r="O33" s="276"/>
    </row>
    <row r="34" spans="1:37" hidden="1">
      <c r="A34" s="269">
        <v>28</v>
      </c>
      <c r="B34" s="273">
        <v>1998</v>
      </c>
      <c r="C34" s="245">
        <v>2060750</v>
      </c>
      <c r="D34" s="245">
        <v>665005</v>
      </c>
      <c r="E34" s="245">
        <v>1091678</v>
      </c>
      <c r="F34" s="245">
        <v>162562</v>
      </c>
      <c r="G34" s="245">
        <v>201930</v>
      </c>
      <c r="H34" s="270">
        <v>-60425</v>
      </c>
      <c r="I34" s="270">
        <v>118892</v>
      </c>
      <c r="J34" s="270">
        <v>76812</v>
      </c>
      <c r="K34" s="270"/>
      <c r="L34" s="253">
        <v>61000</v>
      </c>
      <c r="N34" s="268">
        <v>15812</v>
      </c>
      <c r="O34" s="263"/>
    </row>
    <row r="35" spans="1:37" hidden="1">
      <c r="A35" s="269">
        <v>29</v>
      </c>
      <c r="B35" s="273">
        <v>1999</v>
      </c>
      <c r="C35" s="245">
        <v>2366423</v>
      </c>
      <c r="D35" s="245">
        <v>702717</v>
      </c>
      <c r="E35" s="245">
        <v>1196308</v>
      </c>
      <c r="F35" s="245">
        <v>162008</v>
      </c>
      <c r="G35" s="245">
        <v>182079</v>
      </c>
      <c r="H35" s="270">
        <v>123311</v>
      </c>
      <c r="I35" s="270">
        <v>118951</v>
      </c>
      <c r="J35" s="270">
        <v>311083</v>
      </c>
      <c r="K35" s="270"/>
      <c r="L35" s="253">
        <v>25000</v>
      </c>
      <c r="N35" s="268">
        <v>286083</v>
      </c>
      <c r="O35" s="263"/>
    </row>
    <row r="36" spans="1:37" hidden="1">
      <c r="A36" s="269">
        <v>30</v>
      </c>
      <c r="B36" s="273">
        <v>2000</v>
      </c>
      <c r="C36" s="245">
        <v>2720940</v>
      </c>
      <c r="D36" s="245">
        <v>723377</v>
      </c>
      <c r="E36" s="245">
        <v>1410029</v>
      </c>
      <c r="F36" s="245">
        <v>165874</v>
      </c>
      <c r="G36" s="245">
        <v>169320</v>
      </c>
      <c r="H36" s="270">
        <v>252340</v>
      </c>
      <c r="I36" s="270">
        <v>119184</v>
      </c>
      <c r="J36" s="270">
        <v>366345</v>
      </c>
      <c r="K36" s="270"/>
      <c r="L36" s="253">
        <v>175338</v>
      </c>
      <c r="M36" s="268"/>
      <c r="N36" s="268">
        <v>191007</v>
      </c>
      <c r="S36" s="270"/>
      <c r="U36" s="270"/>
      <c r="W36" s="270"/>
      <c r="Y36" s="270"/>
      <c r="AA36" s="270"/>
      <c r="AC36" s="270"/>
      <c r="AE36" s="270"/>
      <c r="AF36" s="254"/>
      <c r="AG36" s="270"/>
      <c r="AI36" s="270"/>
      <c r="AK36" s="270"/>
    </row>
    <row r="37" spans="1:37" hidden="1">
      <c r="A37" s="269">
        <v>31</v>
      </c>
      <c r="B37" s="273">
        <v>2001</v>
      </c>
      <c r="C37" s="270">
        <v>3888051</v>
      </c>
      <c r="D37" s="270">
        <v>819270</v>
      </c>
      <c r="E37" s="270">
        <v>2945886</v>
      </c>
      <c r="F37" s="270">
        <v>168433</v>
      </c>
      <c r="G37" s="270">
        <v>166504</v>
      </c>
      <c r="H37" s="270">
        <v>-212042</v>
      </c>
      <c r="I37" s="270">
        <v>121506</v>
      </c>
      <c r="J37" s="270">
        <v>-143592</v>
      </c>
      <c r="K37" s="270"/>
      <c r="L37" s="268">
        <v>151062</v>
      </c>
      <c r="M37" s="253">
        <v>16560</v>
      </c>
      <c r="N37" s="268">
        <v>-311214</v>
      </c>
      <c r="P37" s="268"/>
      <c r="Q37" s="268"/>
      <c r="S37" s="270"/>
      <c r="U37" s="270"/>
      <c r="W37" s="270"/>
      <c r="Y37" s="270"/>
      <c r="AA37" s="270"/>
      <c r="AC37" s="270"/>
      <c r="AE37" s="270"/>
      <c r="AF37" s="254"/>
      <c r="AG37" s="270"/>
      <c r="AI37" s="270"/>
      <c r="AK37" s="270"/>
    </row>
    <row r="38" spans="1:37" hidden="1">
      <c r="A38" s="269">
        <v>32</v>
      </c>
      <c r="B38" s="273">
        <v>2002</v>
      </c>
      <c r="C38" s="270">
        <v>3047803</v>
      </c>
      <c r="D38" s="270">
        <v>833606</v>
      </c>
      <c r="E38" s="270">
        <v>1925873</v>
      </c>
      <c r="F38" s="270">
        <v>174164</v>
      </c>
      <c r="G38" s="270">
        <v>201582</v>
      </c>
      <c r="H38" s="270">
        <v>-87422</v>
      </c>
      <c r="I38" s="270">
        <v>127491</v>
      </c>
      <c r="J38" s="270">
        <v>-3414</v>
      </c>
      <c r="K38" s="270"/>
      <c r="L38" s="268">
        <v>373345</v>
      </c>
      <c r="M38" s="268"/>
      <c r="N38" s="268">
        <v>-376759</v>
      </c>
      <c r="P38" s="268"/>
      <c r="Q38" s="268"/>
      <c r="S38" s="270"/>
      <c r="U38" s="270"/>
      <c r="W38" s="270"/>
      <c r="Y38" s="270"/>
      <c r="AA38" s="270"/>
      <c r="AC38" s="270"/>
      <c r="AE38" s="270"/>
      <c r="AG38" s="270"/>
      <c r="AI38" s="270"/>
      <c r="AK38" s="270"/>
    </row>
    <row r="39" spans="1:37" hidden="1">
      <c r="A39" s="269">
        <v>33</v>
      </c>
      <c r="B39" s="273"/>
      <c r="C39" s="270"/>
      <c r="D39" s="270"/>
      <c r="E39" s="270"/>
      <c r="F39" s="270"/>
      <c r="G39" s="270"/>
      <c r="H39" s="270"/>
      <c r="I39" s="270"/>
      <c r="J39" s="270"/>
      <c r="K39" s="270"/>
      <c r="L39" s="268"/>
      <c r="M39" s="268"/>
      <c r="N39" s="268"/>
      <c r="P39" s="268"/>
      <c r="Q39" s="268"/>
      <c r="S39" s="270"/>
      <c r="U39" s="270"/>
      <c r="W39" s="270"/>
      <c r="Y39" s="270"/>
      <c r="AA39" s="270"/>
      <c r="AC39" s="270"/>
      <c r="AE39" s="270"/>
      <c r="AG39" s="270"/>
      <c r="AI39" s="270"/>
      <c r="AK39" s="270"/>
    </row>
    <row r="40" spans="1:37" hidden="1">
      <c r="A40" s="269">
        <v>1</v>
      </c>
      <c r="B40" s="273">
        <v>2002</v>
      </c>
      <c r="C40" s="270">
        <v>53734071</v>
      </c>
      <c r="D40" s="270">
        <v>8765016</v>
      </c>
      <c r="E40" s="270">
        <v>36248938</v>
      </c>
      <c r="F40" s="270">
        <v>3428034</v>
      </c>
      <c r="G40" s="270">
        <v>5499734</v>
      </c>
      <c r="H40" s="270">
        <v>-207651</v>
      </c>
      <c r="I40" s="270">
        <v>3436330</v>
      </c>
      <c r="J40" s="270">
        <v>3199127</v>
      </c>
      <c r="K40" s="270"/>
      <c r="L40" s="268">
        <v>2754877</v>
      </c>
      <c r="M40" s="268">
        <v>41703</v>
      </c>
      <c r="N40" s="268">
        <v>402547</v>
      </c>
      <c r="P40" s="268"/>
      <c r="Q40" s="268"/>
      <c r="S40" s="270"/>
      <c r="U40" s="270"/>
      <c r="W40" s="270"/>
      <c r="Y40" s="270"/>
      <c r="AA40" s="270"/>
      <c r="AC40" s="270"/>
      <c r="AE40" s="270"/>
      <c r="AG40" s="270"/>
      <c r="AI40" s="270"/>
      <c r="AK40" s="270"/>
    </row>
    <row r="41" spans="1:37" hidden="1">
      <c r="A41" s="269">
        <v>2</v>
      </c>
      <c r="B41" s="273"/>
      <c r="C41" s="270"/>
      <c r="D41" s="270"/>
      <c r="E41" s="270"/>
      <c r="F41" s="270"/>
      <c r="G41" s="270"/>
      <c r="H41" s="270"/>
      <c r="I41" s="270"/>
      <c r="J41" s="270"/>
      <c r="K41" s="270"/>
      <c r="L41" s="268"/>
      <c r="M41" s="268"/>
      <c r="N41" s="268"/>
      <c r="P41" s="268"/>
      <c r="Q41" s="268"/>
      <c r="S41" s="270"/>
      <c r="U41" s="270"/>
      <c r="W41" s="270"/>
      <c r="Y41" s="270"/>
      <c r="AA41" s="270"/>
      <c r="AC41" s="270"/>
      <c r="AE41" s="270"/>
      <c r="AG41" s="270"/>
      <c r="AI41" s="270"/>
      <c r="AK41" s="270"/>
    </row>
    <row r="42" spans="1:37" hidden="1">
      <c r="A42" s="269">
        <v>3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68"/>
      <c r="M42" s="268"/>
      <c r="N42" s="268"/>
      <c r="P42" s="268"/>
      <c r="Q42" s="268"/>
      <c r="S42" s="270"/>
      <c r="U42" s="270"/>
      <c r="W42" s="270"/>
      <c r="Y42" s="270"/>
      <c r="AA42" s="270"/>
      <c r="AC42" s="270"/>
      <c r="AE42" s="270"/>
      <c r="AG42" s="270"/>
      <c r="AI42" s="270"/>
      <c r="AK42" s="270"/>
    </row>
    <row r="43" spans="1:37" hidden="1">
      <c r="A43" s="269">
        <v>4</v>
      </c>
      <c r="B43" s="273">
        <v>2003</v>
      </c>
      <c r="C43" s="270">
        <v>3144811</v>
      </c>
      <c r="D43" s="270">
        <v>705289</v>
      </c>
      <c r="E43" s="270">
        <v>1841035</v>
      </c>
      <c r="F43" s="270">
        <v>178896</v>
      </c>
      <c r="G43" s="270">
        <v>176595</v>
      </c>
      <c r="H43" s="270">
        <v>242996</v>
      </c>
      <c r="I43" s="270">
        <v>131592</v>
      </c>
      <c r="J43" s="270">
        <v>314144</v>
      </c>
      <c r="K43" s="270"/>
      <c r="L43" s="268">
        <v>73000</v>
      </c>
      <c r="M43" s="268"/>
      <c r="N43" s="268">
        <v>241144</v>
      </c>
      <c r="P43" s="268"/>
      <c r="Q43" s="268"/>
      <c r="S43" s="270"/>
      <c r="U43" s="270"/>
      <c r="W43" s="270"/>
      <c r="Y43" s="270"/>
      <c r="AA43" s="270"/>
      <c r="AC43" s="270"/>
      <c r="AE43" s="270"/>
      <c r="AG43" s="270"/>
      <c r="AI43" s="270"/>
      <c r="AK43" s="270"/>
    </row>
    <row r="44" spans="1:37" hidden="1">
      <c r="A44" s="269">
        <v>5</v>
      </c>
      <c r="B44" s="273">
        <v>2004</v>
      </c>
      <c r="C44" s="270">
        <v>2738898</v>
      </c>
      <c r="D44" s="270">
        <v>713549</v>
      </c>
      <c r="E44" s="270">
        <v>1366265</v>
      </c>
      <c r="F44" s="270">
        <v>177298</v>
      </c>
      <c r="G44" s="270">
        <v>162531</v>
      </c>
      <c r="H44" s="270">
        <v>319255</v>
      </c>
      <c r="I44" s="270">
        <v>129789</v>
      </c>
      <c r="J44" s="270">
        <v>354413</v>
      </c>
      <c r="K44" s="270"/>
      <c r="L44" s="268">
        <v>233000</v>
      </c>
      <c r="M44" s="268">
        <v>739</v>
      </c>
      <c r="N44" s="268">
        <v>120674</v>
      </c>
      <c r="P44" s="268"/>
      <c r="Q44" s="268"/>
      <c r="S44" s="270"/>
      <c r="U44" s="270"/>
      <c r="W44" s="270"/>
      <c r="Y44" s="270"/>
      <c r="AA44" s="270"/>
      <c r="AC44" s="270"/>
      <c r="AE44" s="270"/>
      <c r="AG44" s="270"/>
      <c r="AI44" s="270"/>
      <c r="AK44" s="270"/>
    </row>
    <row r="45" spans="1:37" hidden="1">
      <c r="A45" s="269">
        <v>6</v>
      </c>
      <c r="B45" s="273">
        <v>2005</v>
      </c>
      <c r="C45" s="270">
        <v>2814224</v>
      </c>
      <c r="D45" s="270">
        <v>711713</v>
      </c>
      <c r="E45" s="270">
        <v>1420735</v>
      </c>
      <c r="F45" s="270">
        <v>186099</v>
      </c>
      <c r="G45" s="270">
        <v>166610</v>
      </c>
      <c r="H45" s="270">
        <v>329067</v>
      </c>
      <c r="I45" s="270">
        <v>-98072</v>
      </c>
      <c r="J45" s="270">
        <v>320734</v>
      </c>
      <c r="K45" s="270"/>
      <c r="L45" s="268">
        <v>271301</v>
      </c>
      <c r="M45" s="268"/>
      <c r="N45" s="268">
        <v>49433</v>
      </c>
      <c r="P45" s="268"/>
      <c r="Q45" s="268"/>
      <c r="S45" s="270"/>
      <c r="U45" s="270"/>
      <c r="W45" s="270"/>
      <c r="Y45" s="270"/>
      <c r="AA45" s="270"/>
      <c r="AC45" s="270"/>
      <c r="AE45" s="270"/>
      <c r="AG45" s="270"/>
      <c r="AI45" s="270"/>
      <c r="AK45" s="270"/>
    </row>
    <row r="46" spans="1:37" hidden="1">
      <c r="A46" s="269">
        <v>7</v>
      </c>
      <c r="B46" s="273">
        <v>2006</v>
      </c>
      <c r="C46" s="270">
        <v>2853659</v>
      </c>
      <c r="D46" s="270">
        <v>773510</v>
      </c>
      <c r="E46" s="270">
        <v>1436548</v>
      </c>
      <c r="F46" s="270">
        <v>181878</v>
      </c>
      <c r="G46" s="270">
        <v>157609</v>
      </c>
      <c r="H46" s="270">
        <v>304114</v>
      </c>
      <c r="I46" s="270">
        <v>-84357</v>
      </c>
      <c r="J46" s="270">
        <v>537237</v>
      </c>
      <c r="K46" s="270"/>
      <c r="L46" s="268">
        <v>261276</v>
      </c>
      <c r="N46" s="268">
        <v>275961</v>
      </c>
      <c r="P46" s="268"/>
      <c r="Q46" s="268"/>
      <c r="S46" s="270"/>
      <c r="U46" s="270"/>
      <c r="W46" s="270"/>
      <c r="Y46" s="270"/>
      <c r="AA46" s="270"/>
      <c r="AC46" s="270"/>
      <c r="AE46" s="270"/>
      <c r="AG46" s="270"/>
      <c r="AI46" s="270"/>
      <c r="AK46" s="270"/>
    </row>
    <row r="47" spans="1:37" hidden="1">
      <c r="A47" s="269">
        <v>8</v>
      </c>
      <c r="B47" s="273">
        <v>2007</v>
      </c>
      <c r="C47" s="270">
        <v>2657891</v>
      </c>
      <c r="D47" s="270">
        <v>818494</v>
      </c>
      <c r="E47" s="270">
        <v>1361837</v>
      </c>
      <c r="F47" s="270">
        <v>176204</v>
      </c>
      <c r="G47" s="270">
        <v>145516</v>
      </c>
      <c r="H47" s="270">
        <v>155840</v>
      </c>
      <c r="I47" s="270">
        <v>133875</v>
      </c>
      <c r="J47" s="270">
        <v>289715</v>
      </c>
      <c r="K47" s="270"/>
      <c r="L47" s="268">
        <v>246300</v>
      </c>
      <c r="M47" s="268"/>
      <c r="N47" s="268">
        <v>43415</v>
      </c>
      <c r="P47" s="268"/>
      <c r="Q47" s="268"/>
      <c r="S47" s="270"/>
      <c r="U47" s="270"/>
      <c r="W47" s="270"/>
      <c r="Y47" s="270"/>
      <c r="AA47" s="270"/>
      <c r="AC47" s="270"/>
      <c r="AE47" s="270"/>
      <c r="AG47" s="270"/>
      <c r="AI47" s="270"/>
      <c r="AK47" s="270"/>
    </row>
    <row r="48" spans="1:37" hidden="1">
      <c r="A48" s="269">
        <v>9</v>
      </c>
      <c r="B48" s="273">
        <v>2008</v>
      </c>
      <c r="C48" s="270">
        <v>2383688</v>
      </c>
      <c r="D48" s="270">
        <v>802849</v>
      </c>
      <c r="E48" s="270">
        <v>1224722</v>
      </c>
      <c r="F48" s="270">
        <v>183466</v>
      </c>
      <c r="G48" s="270">
        <v>142746</v>
      </c>
      <c r="H48" s="270">
        <v>29905</v>
      </c>
      <c r="I48" s="270">
        <v>28438</v>
      </c>
      <c r="J48" s="270">
        <v>195087</v>
      </c>
      <c r="K48" s="270"/>
      <c r="L48" s="268">
        <v>277483</v>
      </c>
      <c r="M48" s="253">
        <v>2950</v>
      </c>
      <c r="N48" s="268">
        <v>-85346</v>
      </c>
      <c r="P48" s="268"/>
      <c r="Q48" s="268"/>
      <c r="S48" s="270"/>
      <c r="U48" s="270"/>
      <c r="W48" s="270"/>
      <c r="Y48" s="270"/>
      <c r="AA48" s="270"/>
      <c r="AC48" s="270"/>
      <c r="AE48" s="270"/>
      <c r="AG48" s="270"/>
      <c r="AI48" s="270"/>
      <c r="AK48" s="270"/>
    </row>
    <row r="49" spans="1:37" hidden="1">
      <c r="A49" s="269">
        <v>10</v>
      </c>
      <c r="B49" s="273">
        <v>2009</v>
      </c>
      <c r="C49" s="270">
        <v>2234695</v>
      </c>
      <c r="D49" s="270">
        <v>871705</v>
      </c>
      <c r="E49" s="270">
        <v>1265997</v>
      </c>
      <c r="F49" s="270">
        <v>180788</v>
      </c>
      <c r="G49" s="270">
        <v>151508</v>
      </c>
      <c r="H49" s="270">
        <v>-235303</v>
      </c>
      <c r="I49" s="270">
        <v>166189</v>
      </c>
      <c r="J49" s="270">
        <v>-69114</v>
      </c>
      <c r="K49" s="270"/>
      <c r="L49" s="268">
        <v>219360</v>
      </c>
      <c r="M49" s="268"/>
      <c r="N49" s="268">
        <v>-288474</v>
      </c>
      <c r="P49" s="268"/>
      <c r="Q49" s="268"/>
      <c r="S49" s="270"/>
      <c r="U49" s="270"/>
      <c r="W49" s="270"/>
      <c r="Y49" s="270"/>
      <c r="AA49" s="270"/>
      <c r="AC49" s="270"/>
      <c r="AE49" s="270"/>
      <c r="AG49" s="270"/>
      <c r="AI49" s="270"/>
      <c r="AK49" s="270"/>
    </row>
    <row r="50" spans="1:37" hidden="1">
      <c r="A50" s="269">
        <v>11</v>
      </c>
      <c r="B50" s="277">
        <v>2010</v>
      </c>
      <c r="C50" s="270">
        <v>2385607</v>
      </c>
      <c r="D50" s="270">
        <v>883540</v>
      </c>
      <c r="E50" s="270">
        <v>1393796</v>
      </c>
      <c r="F50" s="270">
        <v>184989</v>
      </c>
      <c r="G50" s="270">
        <v>176928</v>
      </c>
      <c r="H50" s="270">
        <v>-253646</v>
      </c>
      <c r="I50" s="270">
        <v>120913</v>
      </c>
      <c r="J50" s="270">
        <v>-132733</v>
      </c>
      <c r="K50" s="270"/>
      <c r="L50" s="268">
        <v>244673</v>
      </c>
      <c r="M50" s="268"/>
      <c r="N50" s="268">
        <v>-377406</v>
      </c>
      <c r="P50" s="268"/>
      <c r="Q50" s="268"/>
      <c r="S50" s="270"/>
      <c r="U50" s="270"/>
      <c r="W50" s="270"/>
      <c r="Y50" s="270"/>
      <c r="AA50" s="270"/>
      <c r="AC50" s="270"/>
      <c r="AE50" s="270"/>
      <c r="AG50" s="270"/>
      <c r="AI50" s="270"/>
      <c r="AK50" s="270"/>
    </row>
    <row r="51" spans="1:37" hidden="1">
      <c r="A51" s="269">
        <v>12</v>
      </c>
      <c r="B51" s="277">
        <v>2011</v>
      </c>
      <c r="C51" s="270">
        <v>2619038</v>
      </c>
      <c r="D51" s="270">
        <v>934466</v>
      </c>
      <c r="E51" s="270">
        <v>1283304</v>
      </c>
      <c r="F51" s="270">
        <v>201106</v>
      </c>
      <c r="G51" s="270">
        <v>182860</v>
      </c>
      <c r="H51" s="270">
        <v>17302</v>
      </c>
      <c r="I51" s="270">
        <v>155354</v>
      </c>
      <c r="J51" s="270">
        <v>169132</v>
      </c>
      <c r="K51" s="270"/>
      <c r="L51" s="268">
        <v>162163</v>
      </c>
      <c r="M51" s="268"/>
      <c r="N51" s="268">
        <v>6969</v>
      </c>
      <c r="P51" s="268"/>
      <c r="Q51" s="268"/>
      <c r="S51" s="270"/>
      <c r="U51" s="270"/>
      <c r="W51" s="270"/>
      <c r="Y51" s="270"/>
      <c r="AA51" s="270"/>
      <c r="AC51" s="270"/>
      <c r="AE51" s="270"/>
      <c r="AG51" s="270"/>
      <c r="AI51" s="270"/>
      <c r="AK51" s="270"/>
    </row>
    <row r="52" spans="1:37" hidden="1">
      <c r="A52" s="269">
        <v>13</v>
      </c>
      <c r="B52" s="277">
        <v>2012</v>
      </c>
      <c r="C52" s="270">
        <v>2631334</v>
      </c>
      <c r="D52" s="270">
        <v>962711</v>
      </c>
      <c r="E52" s="270">
        <v>1260404</v>
      </c>
      <c r="F52" s="270">
        <v>199286</v>
      </c>
      <c r="G52" s="270">
        <v>169748</v>
      </c>
      <c r="H52" s="270">
        <v>39185</v>
      </c>
      <c r="I52" s="270">
        <v>153534</v>
      </c>
      <c r="J52" s="270">
        <v>174395</v>
      </c>
      <c r="K52" s="270"/>
      <c r="L52" s="268">
        <v>193000</v>
      </c>
      <c r="M52" s="268">
        <v>1182</v>
      </c>
      <c r="N52" s="268">
        <v>-19787</v>
      </c>
      <c r="P52" s="268"/>
      <c r="Q52" s="268"/>
      <c r="S52" s="270"/>
      <c r="U52" s="270"/>
      <c r="W52" s="270"/>
      <c r="Y52" s="270"/>
      <c r="AA52" s="270"/>
      <c r="AC52" s="270"/>
      <c r="AE52" s="270"/>
      <c r="AG52" s="270"/>
      <c r="AI52" s="270"/>
      <c r="AK52" s="270"/>
    </row>
    <row r="53" spans="1:37" hidden="1">
      <c r="A53" s="269">
        <v>14</v>
      </c>
      <c r="B53" s="277">
        <v>2013</v>
      </c>
      <c r="C53" s="270">
        <v>2647095</v>
      </c>
      <c r="D53" s="270">
        <v>1011463</v>
      </c>
      <c r="E53" s="270">
        <v>1260527</v>
      </c>
      <c r="F53" s="270">
        <v>218103</v>
      </c>
      <c r="G53" s="270">
        <v>207798</v>
      </c>
      <c r="H53" s="270">
        <v>-50796</v>
      </c>
      <c r="I53" s="270">
        <v>164704</v>
      </c>
      <c r="J53" s="270">
        <v>110384</v>
      </c>
      <c r="K53" s="270"/>
      <c r="L53" s="268">
        <v>122799</v>
      </c>
      <c r="M53" s="268">
        <v>58823</v>
      </c>
      <c r="N53" s="268">
        <v>-71238</v>
      </c>
      <c r="P53" s="268"/>
      <c r="Q53" s="268"/>
      <c r="S53" s="270"/>
      <c r="U53" s="270"/>
      <c r="W53" s="270"/>
      <c r="Y53" s="270"/>
      <c r="AA53" s="270"/>
      <c r="AC53" s="270"/>
      <c r="AE53" s="270"/>
      <c r="AG53" s="270"/>
      <c r="AI53" s="270"/>
      <c r="AK53" s="270"/>
    </row>
    <row r="54" spans="1:37" hidden="1">
      <c r="A54" s="269">
        <v>15</v>
      </c>
      <c r="B54" s="273">
        <v>2014</v>
      </c>
      <c r="C54" s="271">
        <v>2810919.3256600006</v>
      </c>
      <c r="D54" s="271">
        <v>1017269.02247</v>
      </c>
      <c r="E54" s="271">
        <v>896127.28251999989</v>
      </c>
      <c r="F54" s="271">
        <v>227267.03862000001</v>
      </c>
      <c r="G54" s="271">
        <v>196360.94574</v>
      </c>
      <c r="H54" s="271">
        <v>473895.03631000069</v>
      </c>
      <c r="I54" s="271">
        <v>143049.12777000002</v>
      </c>
      <c r="J54" s="271">
        <v>596116.34924383648</v>
      </c>
      <c r="K54" s="271"/>
      <c r="L54" s="278">
        <v>462575</v>
      </c>
      <c r="M54" s="278">
        <v>52546.864000000001</v>
      </c>
      <c r="N54" s="279">
        <v>80994.485243836476</v>
      </c>
      <c r="P54" s="268"/>
      <c r="Q54" s="268"/>
      <c r="S54" s="270"/>
      <c r="U54" s="270"/>
      <c r="W54" s="270"/>
      <c r="Y54" s="270"/>
      <c r="AA54" s="270"/>
      <c r="AC54" s="270"/>
      <c r="AE54" s="270"/>
      <c r="AG54" s="270"/>
      <c r="AI54" s="270"/>
      <c r="AK54" s="270"/>
    </row>
    <row r="55" spans="1:37" hidden="1">
      <c r="B55" s="273"/>
      <c r="C55" s="271"/>
      <c r="D55" s="271"/>
      <c r="E55" s="271"/>
      <c r="F55" s="271"/>
      <c r="G55" s="271"/>
      <c r="H55" s="271"/>
      <c r="I55" s="271"/>
      <c r="J55" s="271"/>
      <c r="K55" s="271"/>
      <c r="L55" s="278"/>
      <c r="M55" s="278"/>
      <c r="N55" s="279"/>
      <c r="P55" s="268"/>
      <c r="Q55" s="268"/>
      <c r="S55" s="270"/>
      <c r="U55" s="270"/>
      <c r="W55" s="270"/>
      <c r="Y55" s="270"/>
      <c r="AA55" s="270"/>
      <c r="AC55" s="270"/>
      <c r="AE55" s="270"/>
      <c r="AG55" s="270"/>
      <c r="AI55" s="270"/>
      <c r="AK55" s="270"/>
    </row>
    <row r="56" spans="1:37">
      <c r="A56" s="269">
        <v>1</v>
      </c>
      <c r="B56" s="273">
        <v>2014</v>
      </c>
      <c r="C56" s="271">
        <v>85655930.325660005</v>
      </c>
      <c r="D56" s="271">
        <v>18971574.022470001</v>
      </c>
      <c r="E56" s="271">
        <v>52260235.282519996</v>
      </c>
      <c r="F56" s="271">
        <v>5723414.0386199998</v>
      </c>
      <c r="G56" s="271">
        <v>7536543.9457400003</v>
      </c>
      <c r="H56" s="271">
        <v>1164163.0363100008</v>
      </c>
      <c r="I56" s="271">
        <v>4789336.8276900006</v>
      </c>
      <c r="J56" s="271">
        <v>5952750.8640000019</v>
      </c>
      <c r="K56" s="271"/>
      <c r="L56" s="271">
        <v>5521807</v>
      </c>
      <c r="M56" s="271">
        <v>157943.864</v>
      </c>
      <c r="N56" s="279">
        <v>273000.00000000192</v>
      </c>
      <c r="P56" s="268"/>
      <c r="Q56" s="268"/>
      <c r="S56" s="270"/>
      <c r="U56" s="270"/>
      <c r="W56" s="270"/>
      <c r="Y56" s="270"/>
      <c r="AA56" s="270"/>
      <c r="AC56" s="270"/>
      <c r="AE56" s="270"/>
      <c r="AG56" s="270"/>
      <c r="AI56" s="270"/>
      <c r="AK56" s="270"/>
    </row>
    <row r="57" spans="1:37">
      <c r="A57" s="269">
        <v>2</v>
      </c>
      <c r="B57" s="273"/>
      <c r="C57" s="271"/>
      <c r="D57" s="271"/>
      <c r="E57" s="271"/>
      <c r="F57" s="271"/>
      <c r="G57" s="271"/>
      <c r="H57" s="271"/>
      <c r="I57" s="271"/>
      <c r="J57" s="271"/>
      <c r="K57" s="271"/>
      <c r="L57" s="278"/>
      <c r="M57" s="278"/>
      <c r="N57" s="279"/>
      <c r="P57" s="268"/>
      <c r="Q57" s="268"/>
      <c r="S57" s="270"/>
      <c r="U57" s="270"/>
      <c r="W57" s="270"/>
      <c r="Y57" s="270"/>
      <c r="AA57" s="270"/>
      <c r="AC57" s="270"/>
      <c r="AE57" s="270"/>
      <c r="AG57" s="270"/>
      <c r="AI57" s="270"/>
      <c r="AK57" s="270"/>
    </row>
    <row r="58" spans="1:37">
      <c r="A58" s="269">
        <v>3</v>
      </c>
      <c r="B58" s="267" t="s">
        <v>333</v>
      </c>
      <c r="C58" s="271"/>
      <c r="D58" s="271"/>
      <c r="E58" s="271"/>
      <c r="F58" s="271"/>
      <c r="G58" s="271"/>
      <c r="H58" s="271"/>
      <c r="I58" s="271"/>
      <c r="J58" s="271"/>
      <c r="K58" s="271"/>
      <c r="L58" s="278"/>
      <c r="M58" s="278"/>
      <c r="N58" s="279"/>
      <c r="P58" s="268"/>
      <c r="Q58" s="268"/>
      <c r="S58" s="270"/>
      <c r="U58" s="270"/>
      <c r="W58" s="270"/>
      <c r="Y58" s="270"/>
      <c r="AA58" s="270"/>
      <c r="AC58" s="270"/>
      <c r="AE58" s="270"/>
      <c r="AG58" s="270"/>
      <c r="AI58" s="270"/>
      <c r="AK58" s="270"/>
    </row>
    <row r="59" spans="1:37">
      <c r="A59" s="269">
        <v>4</v>
      </c>
      <c r="B59" s="273">
        <v>2015</v>
      </c>
      <c r="C59" s="271">
        <v>2588858.2325999998</v>
      </c>
      <c r="D59" s="271">
        <v>1009924.4493000001</v>
      </c>
      <c r="E59" s="271">
        <v>841782.42643000011</v>
      </c>
      <c r="F59" s="271">
        <v>224188.22295</v>
      </c>
      <c r="G59" s="271">
        <v>185925.42388000002</v>
      </c>
      <c r="H59" s="271">
        <v>327037.71003999969</v>
      </c>
      <c r="I59" s="271">
        <v>192292.23895</v>
      </c>
      <c r="J59" s="271">
        <v>585597.94898999971</v>
      </c>
      <c r="K59" s="271">
        <v>0</v>
      </c>
      <c r="L59" s="271">
        <v>402532</v>
      </c>
      <c r="M59" s="271">
        <v>61066</v>
      </c>
      <c r="N59" s="271">
        <v>121999.94898999971</v>
      </c>
      <c r="P59" s="268"/>
      <c r="Q59" s="268"/>
      <c r="S59" s="270"/>
      <c r="U59" s="270"/>
      <c r="W59" s="270"/>
      <c r="Y59" s="270"/>
      <c r="AA59" s="270"/>
      <c r="AC59" s="270"/>
      <c r="AE59" s="270"/>
      <c r="AG59" s="270"/>
      <c r="AI59" s="270"/>
      <c r="AK59" s="270"/>
    </row>
    <row r="60" spans="1:37">
      <c r="A60" s="269">
        <v>5</v>
      </c>
      <c r="B60" s="273">
        <v>2016</v>
      </c>
      <c r="C60" s="271">
        <v>2600726</v>
      </c>
      <c r="D60" s="271">
        <v>1140373.6007900001</v>
      </c>
      <c r="E60" s="271">
        <v>864697.80755000003</v>
      </c>
      <c r="F60" s="271">
        <v>222551.42</v>
      </c>
      <c r="G60" s="271">
        <v>185925.42388000002</v>
      </c>
      <c r="H60" s="271">
        <v>187177.74777999986</v>
      </c>
      <c r="I60" s="271">
        <v>690354.06722000008</v>
      </c>
      <c r="J60" s="271">
        <v>877531.81499999994</v>
      </c>
      <c r="K60" s="271">
        <v>0</v>
      </c>
      <c r="L60" s="271">
        <v>1053348</v>
      </c>
      <c r="M60" s="271">
        <v>60183.815000000002</v>
      </c>
      <c r="N60" s="271">
        <v>-236000.00000000006</v>
      </c>
      <c r="P60" s="268"/>
      <c r="Q60" s="268"/>
      <c r="S60" s="270"/>
      <c r="U60" s="270"/>
      <c r="W60" s="270"/>
      <c r="Y60" s="270"/>
      <c r="AA60" s="270"/>
      <c r="AC60" s="270"/>
      <c r="AE60" s="270"/>
      <c r="AG60" s="270"/>
      <c r="AI60" s="270"/>
      <c r="AK60" s="270"/>
    </row>
    <row r="61" spans="1:37">
      <c r="A61" s="269">
        <v>6</v>
      </c>
      <c r="B61" s="273">
        <v>2017</v>
      </c>
      <c r="C61" s="271">
        <v>2721171.2600899995</v>
      </c>
      <c r="D61" s="271">
        <v>1171666.3228799999</v>
      </c>
      <c r="E61" s="271">
        <v>947790.09164999984</v>
      </c>
      <c r="F61" s="271">
        <v>224046.84852</v>
      </c>
      <c r="G61" s="271">
        <v>121677.76638000002</v>
      </c>
      <c r="H61" s="271">
        <v>255990.2306599998</v>
      </c>
      <c r="I61" s="271">
        <v>190578.78852</v>
      </c>
      <c r="J61" s="271">
        <v>794123.01917999983</v>
      </c>
      <c r="K61" s="271">
        <v>0</v>
      </c>
      <c r="L61" s="271">
        <v>796641</v>
      </c>
      <c r="M61" s="271">
        <v>50768.851000000002</v>
      </c>
      <c r="N61" s="271">
        <v>-53286.831820000174</v>
      </c>
      <c r="P61" s="268"/>
      <c r="Q61" s="268"/>
      <c r="S61" s="270"/>
      <c r="U61" s="270"/>
      <c r="W61" s="270"/>
      <c r="Y61" s="270"/>
      <c r="AA61" s="270"/>
      <c r="AC61" s="270"/>
      <c r="AE61" s="270"/>
      <c r="AG61" s="270"/>
      <c r="AI61" s="270"/>
      <c r="AK61" s="270"/>
    </row>
    <row r="62" spans="1:37">
      <c r="A62" s="269">
        <v>7</v>
      </c>
      <c r="B62" s="273">
        <v>2018</v>
      </c>
      <c r="C62" s="271">
        <v>2862774</v>
      </c>
      <c r="D62" s="271">
        <v>1188441</v>
      </c>
      <c r="E62" s="271">
        <v>966795</v>
      </c>
      <c r="F62" s="271">
        <v>221031</v>
      </c>
      <c r="G62" s="271">
        <v>73686</v>
      </c>
      <c r="H62" s="271">
        <v>412821</v>
      </c>
      <c r="I62" s="271">
        <v>221031</v>
      </c>
      <c r="J62" s="271">
        <v>295852.80800000002</v>
      </c>
      <c r="K62" s="271">
        <v>0</v>
      </c>
      <c r="L62" s="271">
        <v>388138</v>
      </c>
      <c r="M62" s="271">
        <v>0</v>
      </c>
      <c r="N62" s="271">
        <v>-92285.191999999981</v>
      </c>
      <c r="P62" s="268"/>
      <c r="Q62" s="268"/>
      <c r="S62" s="270"/>
      <c r="U62" s="270"/>
      <c r="W62" s="270"/>
      <c r="Y62" s="270"/>
      <c r="AA62" s="270"/>
      <c r="AC62" s="270"/>
      <c r="AE62" s="270"/>
      <c r="AG62" s="270"/>
      <c r="AI62" s="270"/>
      <c r="AK62" s="270"/>
    </row>
    <row r="63" spans="1:37">
      <c r="A63" s="269">
        <v>8</v>
      </c>
      <c r="B63" s="273">
        <v>2019</v>
      </c>
      <c r="C63" s="271">
        <v>2817848.1906699999</v>
      </c>
      <c r="D63" s="271">
        <v>1129514.4084400001</v>
      </c>
      <c r="E63" s="271">
        <v>1139849.6848199998</v>
      </c>
      <c r="F63" s="271">
        <v>225210.77424999999</v>
      </c>
      <c r="G63" s="271">
        <v>65484.273810000013</v>
      </c>
      <c r="H63" s="271">
        <v>257789.0493499999</v>
      </c>
      <c r="I63" s="271">
        <v>222644.77420000001</v>
      </c>
      <c r="J63" s="271">
        <v>810433.82354999986</v>
      </c>
      <c r="K63" s="271">
        <v>141088</v>
      </c>
      <c r="L63" s="271">
        <v>422705.70699999999</v>
      </c>
      <c r="M63" s="271">
        <v>56573</v>
      </c>
      <c r="N63" s="271">
        <v>190067.27170000001</v>
      </c>
      <c r="P63" s="268"/>
      <c r="Q63" s="268"/>
      <c r="S63" s="270"/>
      <c r="U63" s="270"/>
      <c r="W63" s="270"/>
      <c r="Y63" s="270"/>
      <c r="AA63" s="270"/>
      <c r="AC63" s="270"/>
      <c r="AE63" s="270"/>
      <c r="AG63" s="270"/>
      <c r="AI63" s="270"/>
      <c r="AK63" s="270"/>
    </row>
    <row r="64" spans="1:37">
      <c r="A64" s="269">
        <v>9</v>
      </c>
      <c r="B64" s="273">
        <v>2020</v>
      </c>
      <c r="C64" s="271">
        <v>2814257.0160700004</v>
      </c>
      <c r="D64" s="271">
        <v>1117823.1373400004</v>
      </c>
      <c r="E64" s="271">
        <v>683250.50650000002</v>
      </c>
      <c r="F64" s="271">
        <v>478985.49648000003</v>
      </c>
      <c r="G64" s="271">
        <v>279085.11825</v>
      </c>
      <c r="H64" s="271">
        <v>255112.75749999989</v>
      </c>
      <c r="I64" s="271">
        <v>447520.24250000011</v>
      </c>
      <c r="J64" s="271">
        <v>702633</v>
      </c>
      <c r="K64" s="271">
        <v>274610</v>
      </c>
      <c r="L64" s="271">
        <v>171410</v>
      </c>
      <c r="M64" s="271">
        <v>24129</v>
      </c>
      <c r="N64" s="271">
        <v>232483.72829999999</v>
      </c>
      <c r="P64" s="268"/>
      <c r="Q64" s="268"/>
      <c r="S64" s="270"/>
      <c r="U64" s="270"/>
      <c r="W64" s="270"/>
      <c r="Y64" s="270"/>
      <c r="AA64" s="270"/>
      <c r="AC64" s="270"/>
      <c r="AE64" s="270"/>
      <c r="AG64" s="270"/>
      <c r="AI64" s="270"/>
      <c r="AK64" s="270"/>
    </row>
    <row r="65" spans="1:37">
      <c r="A65" s="269">
        <v>10</v>
      </c>
      <c r="B65" s="283" t="s">
        <v>543</v>
      </c>
      <c r="C65" s="270"/>
      <c r="D65" s="270"/>
      <c r="E65" s="270"/>
      <c r="F65" s="270"/>
      <c r="G65" s="270"/>
      <c r="H65" s="270"/>
      <c r="I65" s="270"/>
      <c r="J65" s="270"/>
      <c r="K65" s="270"/>
      <c r="L65" s="268"/>
      <c r="N65" s="268"/>
      <c r="P65" s="268"/>
      <c r="Q65" s="268"/>
      <c r="S65" s="270"/>
      <c r="U65" s="270"/>
      <c r="W65" s="270"/>
      <c r="Y65" s="270"/>
      <c r="AA65" s="270"/>
      <c r="AC65" s="270"/>
      <c r="AE65" s="270"/>
      <c r="AG65" s="270"/>
      <c r="AI65" s="270"/>
      <c r="AK65" s="270"/>
    </row>
    <row r="66" spans="1:37">
      <c r="A66" s="269">
        <v>11</v>
      </c>
      <c r="B66" s="273" t="s">
        <v>544</v>
      </c>
      <c r="C66" s="271"/>
      <c r="D66" s="271"/>
      <c r="E66" s="271"/>
      <c r="F66" s="271"/>
      <c r="G66" s="271"/>
      <c r="H66" s="271"/>
      <c r="I66" s="271"/>
      <c r="J66" s="271"/>
      <c r="K66" s="271"/>
      <c r="L66" s="279"/>
      <c r="M66" s="278"/>
      <c r="N66" s="279"/>
      <c r="P66" s="268"/>
      <c r="Q66" s="268"/>
      <c r="S66" s="270"/>
      <c r="U66" s="270"/>
      <c r="W66" s="270"/>
      <c r="Y66" s="270"/>
      <c r="AA66" s="270"/>
      <c r="AC66" s="270"/>
      <c r="AE66" s="270"/>
      <c r="AG66" s="270"/>
      <c r="AI66" s="270"/>
      <c r="AK66" s="270"/>
    </row>
    <row r="67" spans="1:37">
      <c r="A67" s="269">
        <v>12</v>
      </c>
      <c r="B67" s="273">
        <v>2021</v>
      </c>
      <c r="C67" s="270">
        <v>2815949.7355200006</v>
      </c>
      <c r="D67" s="270">
        <v>1200396.5144499999</v>
      </c>
      <c r="E67" s="270">
        <v>723201.20749000006</v>
      </c>
      <c r="F67" s="270">
        <v>491000.00003999996</v>
      </c>
      <c r="G67" s="270">
        <v>245677.34401999996</v>
      </c>
      <c r="H67" s="270">
        <v>155674.66952000069</v>
      </c>
      <c r="I67" s="270">
        <v>422686.33047999971</v>
      </c>
      <c r="J67" s="270">
        <v>578361.00000000047</v>
      </c>
      <c r="K67" s="270">
        <v>23570</v>
      </c>
      <c r="L67" s="270">
        <v>519000</v>
      </c>
      <c r="M67" s="270">
        <v>22112</v>
      </c>
      <c r="N67" s="270">
        <v>13679.000000000466</v>
      </c>
      <c r="P67" s="281"/>
      <c r="Q67" s="281"/>
      <c r="S67" s="270"/>
      <c r="U67" s="270"/>
      <c r="W67" s="270"/>
      <c r="Y67" s="270"/>
      <c r="AA67" s="270"/>
      <c r="AC67" s="270"/>
      <c r="AE67" s="270"/>
      <c r="AG67" s="270"/>
      <c r="AI67" s="270"/>
      <c r="AK67" s="270"/>
    </row>
    <row r="68" spans="1:37">
      <c r="A68" s="269">
        <v>13</v>
      </c>
      <c r="B68" s="283" t="s">
        <v>545</v>
      </c>
      <c r="L68" s="245"/>
      <c r="M68" s="245"/>
      <c r="P68" s="281"/>
      <c r="Q68" s="281"/>
      <c r="S68" s="270"/>
      <c r="U68" s="270"/>
      <c r="W68" s="270"/>
      <c r="Y68" s="270"/>
      <c r="AA68" s="270"/>
      <c r="AC68" s="270"/>
      <c r="AE68" s="270"/>
      <c r="AG68" s="270"/>
      <c r="AI68" s="270"/>
      <c r="AK68" s="270"/>
    </row>
    <row r="69" spans="1:37">
      <c r="A69" s="269">
        <v>14</v>
      </c>
      <c r="B69" s="273" t="s">
        <v>544</v>
      </c>
      <c r="L69" s="245"/>
      <c r="M69" s="245"/>
      <c r="P69" s="281"/>
      <c r="Q69" s="281"/>
      <c r="S69" s="270"/>
      <c r="U69" s="270"/>
      <c r="W69" s="270"/>
      <c r="Y69" s="270"/>
      <c r="AA69" s="270"/>
      <c r="AC69" s="270"/>
      <c r="AE69" s="270"/>
      <c r="AG69" s="270"/>
      <c r="AI69" s="270"/>
      <c r="AK69" s="270"/>
    </row>
    <row r="70" spans="1:37">
      <c r="A70" s="269">
        <v>15</v>
      </c>
      <c r="B70" s="273">
        <v>2022</v>
      </c>
      <c r="C70" s="245">
        <v>2879680.996992487</v>
      </c>
      <c r="D70" s="245">
        <v>1229762.9553799997</v>
      </c>
      <c r="E70" s="245">
        <v>687416.07997999992</v>
      </c>
      <c r="F70" s="245">
        <v>498602.79417202057</v>
      </c>
      <c r="G70" s="245">
        <v>240274.69596449492</v>
      </c>
      <c r="H70" s="270">
        <v>223624.47149597187</v>
      </c>
      <c r="I70" s="245">
        <v>459235.12215937983</v>
      </c>
      <c r="J70" s="270">
        <v>682859.59365535167</v>
      </c>
      <c r="K70" s="245">
        <v>16005.150000000007</v>
      </c>
      <c r="L70" s="245">
        <v>495000</v>
      </c>
      <c r="M70" s="245">
        <v>16059.879000000001</v>
      </c>
      <c r="N70" s="268">
        <v>155794.56465535166</v>
      </c>
      <c r="P70" s="289"/>
      <c r="S70" s="270"/>
      <c r="U70" s="270"/>
      <c r="W70" s="270"/>
      <c r="Y70" s="270"/>
      <c r="AA70" s="270"/>
      <c r="AC70" s="270"/>
      <c r="AE70" s="270"/>
      <c r="AG70" s="270"/>
      <c r="AI70" s="270"/>
      <c r="AK70" s="270"/>
    </row>
    <row r="71" spans="1:37">
      <c r="A71" s="269">
        <v>16</v>
      </c>
      <c r="B71" s="273">
        <v>2023</v>
      </c>
      <c r="C71" s="245">
        <v>2847294.6248635198</v>
      </c>
      <c r="D71" s="245">
        <v>1224490.9160799996</v>
      </c>
      <c r="E71" s="245">
        <v>707257.1039300001</v>
      </c>
      <c r="F71" s="245">
        <v>499836.9197733613</v>
      </c>
      <c r="G71" s="245">
        <v>227633.07518826067</v>
      </c>
      <c r="H71" s="270">
        <v>188076.60989189809</v>
      </c>
      <c r="I71" s="245">
        <v>454430.84011127299</v>
      </c>
      <c r="J71" s="270">
        <v>642507.45000317111</v>
      </c>
      <c r="K71" s="245">
        <v>21111.400000000005</v>
      </c>
      <c r="L71" s="245">
        <v>525000</v>
      </c>
      <c r="M71" s="245">
        <v>12762.084999999999</v>
      </c>
      <c r="N71" s="268">
        <v>83633.965003171106</v>
      </c>
      <c r="P71" s="282"/>
      <c r="Q71" s="282"/>
      <c r="S71" s="270"/>
      <c r="U71" s="270"/>
      <c r="W71" s="270"/>
      <c r="Y71" s="270"/>
      <c r="AA71" s="270"/>
      <c r="AC71" s="270"/>
      <c r="AE71" s="270"/>
      <c r="AG71" s="270"/>
      <c r="AI71" s="270"/>
      <c r="AK71" s="270"/>
    </row>
    <row r="72" spans="1:37">
      <c r="A72" s="269">
        <v>17</v>
      </c>
      <c r="B72" s="283" t="s">
        <v>546</v>
      </c>
      <c r="C72" s="270"/>
      <c r="D72" s="270"/>
      <c r="E72" s="270"/>
      <c r="F72" s="270"/>
      <c r="G72" s="270"/>
      <c r="H72" s="270"/>
      <c r="I72" s="270"/>
      <c r="J72" s="270"/>
      <c r="K72" s="270"/>
      <c r="L72" s="282"/>
      <c r="M72" s="282"/>
      <c r="N72" s="268"/>
      <c r="P72" s="282"/>
      <c r="Q72" s="282"/>
      <c r="S72" s="270"/>
      <c r="U72" s="270"/>
      <c r="W72" s="270"/>
      <c r="Y72" s="270"/>
      <c r="AA72" s="270"/>
      <c r="AC72" s="270"/>
      <c r="AE72" s="270"/>
      <c r="AG72" s="270"/>
      <c r="AI72" s="270"/>
      <c r="AK72" s="270"/>
    </row>
    <row r="73" spans="1:37">
      <c r="A73" s="269">
        <v>18</v>
      </c>
      <c r="B73" s="273" t="s">
        <v>544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82"/>
      <c r="M73" s="282"/>
      <c r="N73" s="268"/>
      <c r="P73" s="282"/>
      <c r="Q73" s="282"/>
      <c r="S73" s="270"/>
      <c r="U73" s="270"/>
      <c r="W73" s="270"/>
      <c r="Y73" s="270"/>
      <c r="AA73" s="270"/>
      <c r="AC73" s="270"/>
      <c r="AE73" s="270"/>
      <c r="AG73" s="270"/>
      <c r="AI73" s="270"/>
      <c r="AK73" s="270"/>
    </row>
    <row r="74" spans="1:37">
      <c r="A74" s="269">
        <v>19</v>
      </c>
      <c r="B74" s="273">
        <v>2024</v>
      </c>
      <c r="C74" s="270">
        <v>2847294.6248635198</v>
      </c>
      <c r="D74" s="270">
        <v>1224490.9160799996</v>
      </c>
      <c r="E74" s="270">
        <v>694204.56495000003</v>
      </c>
      <c r="F74" s="270">
        <v>499836.9197733613</v>
      </c>
      <c r="G74" s="270">
        <v>270048.03659346112</v>
      </c>
      <c r="H74" s="270">
        <v>158714.18746669771</v>
      </c>
      <c r="I74" s="270">
        <v>494430.84011127299</v>
      </c>
      <c r="J74" s="270">
        <v>653145.02757797064</v>
      </c>
      <c r="K74" s="270">
        <v>116218.45</v>
      </c>
      <c r="L74" s="282">
        <v>300997.93400000001</v>
      </c>
      <c r="M74" s="282">
        <v>7710.37</v>
      </c>
      <c r="N74" s="268">
        <v>228218.27357797063</v>
      </c>
      <c r="P74" s="282"/>
      <c r="Q74" s="282"/>
      <c r="S74" s="270"/>
      <c r="U74" s="270"/>
      <c r="W74" s="270"/>
      <c r="Y74" s="270"/>
      <c r="AA74" s="270"/>
      <c r="AC74" s="270"/>
      <c r="AE74" s="270"/>
      <c r="AG74" s="270"/>
      <c r="AI74" s="270"/>
      <c r="AK74" s="270"/>
    </row>
    <row r="75" spans="1:37">
      <c r="A75" s="269">
        <v>20</v>
      </c>
      <c r="B75" s="273">
        <v>2025</v>
      </c>
      <c r="C75" s="270">
        <v>2847294.6248635198</v>
      </c>
      <c r="D75" s="270">
        <v>1224490.9160799996</v>
      </c>
      <c r="E75" s="270">
        <v>694204.56495000003</v>
      </c>
      <c r="F75" s="270">
        <v>499836.9197733613</v>
      </c>
      <c r="G75" s="270">
        <v>175108.48759346112</v>
      </c>
      <c r="H75" s="270">
        <v>253653.73646669771</v>
      </c>
      <c r="I75" s="270">
        <v>494430.84011127299</v>
      </c>
      <c r="J75" s="270">
        <v>748084.57657797076</v>
      </c>
      <c r="K75" s="270">
        <v>386722.85</v>
      </c>
      <c r="L75" s="282">
        <v>97390.043000000005</v>
      </c>
      <c r="M75" s="282">
        <v>13435.752</v>
      </c>
      <c r="N75" s="268">
        <v>250535.93157797074</v>
      </c>
      <c r="P75" s="282"/>
      <c r="Q75" s="282"/>
      <c r="S75" s="270"/>
      <c r="U75" s="270"/>
      <c r="W75" s="270"/>
      <c r="Y75" s="270"/>
      <c r="AA75" s="270"/>
      <c r="AC75" s="270"/>
      <c r="AE75" s="270"/>
      <c r="AG75" s="270"/>
      <c r="AI75" s="270"/>
      <c r="AK75" s="270"/>
    </row>
    <row r="76" spans="1:37">
      <c r="A76" s="269">
        <v>21</v>
      </c>
      <c r="B76" s="273">
        <v>2026</v>
      </c>
      <c r="C76" s="270">
        <v>2847294.6248635198</v>
      </c>
      <c r="D76" s="270">
        <v>1224490.9160799996</v>
      </c>
      <c r="E76" s="270">
        <v>694204.56495000003</v>
      </c>
      <c r="F76" s="270">
        <v>499836.9197733613</v>
      </c>
      <c r="G76" s="270">
        <v>159229.48059346111</v>
      </c>
      <c r="H76" s="270">
        <v>269532.74346669775</v>
      </c>
      <c r="I76" s="270">
        <v>494430.84011127299</v>
      </c>
      <c r="J76" s="270">
        <v>763963.58357797074</v>
      </c>
      <c r="K76" s="270">
        <v>391901.25</v>
      </c>
      <c r="L76" s="282">
        <v>100409.35</v>
      </c>
      <c r="M76" s="282">
        <v>19725.584999999999</v>
      </c>
      <c r="N76" s="268">
        <v>251927.3985779708</v>
      </c>
      <c r="P76" s="282"/>
      <c r="Q76" s="282"/>
      <c r="S76" s="270"/>
      <c r="U76" s="270"/>
      <c r="W76" s="270"/>
      <c r="Y76" s="270"/>
      <c r="AA76" s="270"/>
      <c r="AC76" s="270"/>
      <c r="AE76" s="270"/>
      <c r="AG76" s="270"/>
      <c r="AI76" s="270"/>
      <c r="AK76" s="270"/>
    </row>
    <row r="77" spans="1:37">
      <c r="A77" s="269">
        <v>22</v>
      </c>
      <c r="B77" s="273">
        <v>2027</v>
      </c>
      <c r="C77" s="270">
        <v>2847294.6248635198</v>
      </c>
      <c r="D77" s="270">
        <v>1224490.9160799996</v>
      </c>
      <c r="E77" s="270">
        <v>694204.56495000003</v>
      </c>
      <c r="F77" s="270">
        <v>499836.9197733613</v>
      </c>
      <c r="G77" s="270">
        <v>142012.35759346111</v>
      </c>
      <c r="H77" s="270">
        <v>286749.86646669771</v>
      </c>
      <c r="I77" s="270">
        <v>494430.84011127299</v>
      </c>
      <c r="J77" s="270">
        <v>781180.70657797065</v>
      </c>
      <c r="K77" s="270">
        <v>408116.25</v>
      </c>
      <c r="L77" s="282">
        <v>113237.34600000001</v>
      </c>
      <c r="M77" s="282">
        <v>6084.4470000000001</v>
      </c>
      <c r="N77" s="268">
        <v>253742.66357797058</v>
      </c>
      <c r="P77" s="282"/>
      <c r="Q77" s="282"/>
      <c r="S77" s="270"/>
      <c r="U77" s="270"/>
      <c r="W77" s="270"/>
      <c r="Y77" s="270"/>
      <c r="AA77" s="270"/>
      <c r="AC77" s="270"/>
      <c r="AE77" s="270"/>
      <c r="AG77" s="270"/>
      <c r="AI77" s="270"/>
      <c r="AK77" s="270"/>
    </row>
    <row r="78" spans="1:37">
      <c r="A78" s="269">
        <v>23</v>
      </c>
      <c r="B78" s="273">
        <v>2028</v>
      </c>
      <c r="C78" s="270">
        <v>2847294.6248635198</v>
      </c>
      <c r="D78" s="270">
        <v>1224490.9160799996</v>
      </c>
      <c r="E78" s="270">
        <v>694204.56495000003</v>
      </c>
      <c r="F78" s="270">
        <v>499836.9197733613</v>
      </c>
      <c r="G78" s="270">
        <v>141373.69459346111</v>
      </c>
      <c r="H78" s="270">
        <v>287388.52946669771</v>
      </c>
      <c r="I78" s="270">
        <v>494430.84011127299</v>
      </c>
      <c r="J78" s="270">
        <v>781819.3695779707</v>
      </c>
      <c r="K78" s="270">
        <v>421150</v>
      </c>
      <c r="L78" s="282">
        <v>110305.57799999999</v>
      </c>
      <c r="M78" s="282">
        <v>11126.422</v>
      </c>
      <c r="N78" s="268">
        <v>239237.3695779707</v>
      </c>
      <c r="P78" s="282"/>
      <c r="Q78" s="282"/>
      <c r="S78" s="270"/>
      <c r="U78" s="270"/>
      <c r="W78" s="270"/>
      <c r="Y78" s="270"/>
      <c r="AA78" s="270"/>
      <c r="AC78" s="270"/>
      <c r="AE78" s="270"/>
      <c r="AG78" s="270"/>
      <c r="AI78" s="270"/>
      <c r="AK78" s="270"/>
    </row>
    <row r="79" spans="1:37">
      <c r="A79" s="269">
        <v>24</v>
      </c>
      <c r="B79" s="273">
        <v>2029</v>
      </c>
      <c r="C79" s="270">
        <v>2847294.6248635198</v>
      </c>
      <c r="D79" s="270">
        <v>1224490.9160799996</v>
      </c>
      <c r="E79" s="270">
        <v>694204.56495000003</v>
      </c>
      <c r="F79" s="270">
        <v>499836.9197733613</v>
      </c>
      <c r="G79" s="270">
        <v>139008.30859346112</v>
      </c>
      <c r="H79" s="270">
        <v>289753.91546669771</v>
      </c>
      <c r="I79" s="270">
        <v>494430.84011127299</v>
      </c>
      <c r="J79" s="270">
        <v>784184.75557797076</v>
      </c>
      <c r="K79" s="270">
        <v>129259.2645</v>
      </c>
      <c r="L79" s="282">
        <v>423203.59399999998</v>
      </c>
      <c r="M79" s="282">
        <v>4064.6350000000002</v>
      </c>
      <c r="N79" s="268">
        <v>227657.26207797078</v>
      </c>
      <c r="P79" s="282"/>
      <c r="Q79" s="282"/>
      <c r="S79" s="270"/>
      <c r="U79" s="270"/>
      <c r="W79" s="270"/>
      <c r="Y79" s="270"/>
      <c r="AA79" s="270"/>
      <c r="AC79" s="270"/>
      <c r="AE79" s="270"/>
      <c r="AG79" s="270"/>
      <c r="AI79" s="270"/>
      <c r="AK79" s="270"/>
    </row>
    <row r="80" spans="1:37">
      <c r="A80" s="269">
        <v>25</v>
      </c>
      <c r="B80" s="273">
        <v>2030</v>
      </c>
      <c r="C80" s="270">
        <v>2847294.6248635198</v>
      </c>
      <c r="D80" s="270">
        <v>1224490.9160799996</v>
      </c>
      <c r="E80" s="270">
        <v>694204.56495000003</v>
      </c>
      <c r="F80" s="270">
        <v>499836.9197733613</v>
      </c>
      <c r="G80" s="270">
        <v>117229.19559346112</v>
      </c>
      <c r="H80" s="270">
        <v>311533.02846669772</v>
      </c>
      <c r="I80" s="270">
        <v>494430.84011127299</v>
      </c>
      <c r="J80" s="270">
        <v>805963.86857797066</v>
      </c>
      <c r="K80" s="270">
        <v>249986.114</v>
      </c>
      <c r="L80" s="282">
        <v>321705.47600000002</v>
      </c>
      <c r="M80" s="282">
        <v>1995.7329999999999</v>
      </c>
      <c r="N80" s="268">
        <v>232276.54557797062</v>
      </c>
      <c r="P80" s="282"/>
      <c r="Q80" s="282"/>
      <c r="S80" s="270"/>
      <c r="U80" s="270"/>
      <c r="W80" s="270"/>
      <c r="Y80" s="270"/>
      <c r="AA80" s="270"/>
      <c r="AC80" s="270"/>
      <c r="AE80" s="270"/>
      <c r="AG80" s="270"/>
      <c r="AI80" s="270"/>
      <c r="AK80" s="270"/>
    </row>
    <row r="81" spans="1:37">
      <c r="A81" s="269">
        <v>26</v>
      </c>
      <c r="B81" s="273">
        <v>2031</v>
      </c>
      <c r="C81" s="270">
        <v>2847294.6248635198</v>
      </c>
      <c r="D81" s="270">
        <v>1224490.9160799996</v>
      </c>
      <c r="E81" s="270">
        <v>694204.56495000003</v>
      </c>
      <c r="F81" s="270">
        <v>499836.9197733613</v>
      </c>
      <c r="G81" s="270">
        <v>104292.51459346111</v>
      </c>
      <c r="H81" s="270">
        <v>324469.70946669771</v>
      </c>
      <c r="I81" s="270">
        <v>494430.84011127299</v>
      </c>
      <c r="J81" s="270">
        <v>818900.54957797076</v>
      </c>
      <c r="K81" s="270">
        <v>267839.92825</v>
      </c>
      <c r="L81" s="282">
        <v>308534.48800000001</v>
      </c>
      <c r="M81" s="282">
        <v>10433.175999999999</v>
      </c>
      <c r="N81" s="268">
        <v>232092.95732797077</v>
      </c>
      <c r="P81" s="282"/>
      <c r="Q81" s="282"/>
      <c r="S81" s="270"/>
      <c r="U81" s="270"/>
      <c r="W81" s="270"/>
      <c r="Y81" s="270"/>
      <c r="AA81" s="270"/>
      <c r="AC81" s="270"/>
      <c r="AE81" s="270"/>
      <c r="AG81" s="270"/>
      <c r="AI81" s="270"/>
      <c r="AK81" s="270"/>
    </row>
    <row r="82" spans="1:37">
      <c r="A82" s="269">
        <v>27</v>
      </c>
      <c r="B82" s="273">
        <v>2032</v>
      </c>
      <c r="C82" s="270">
        <v>2847294.6248635198</v>
      </c>
      <c r="D82" s="270">
        <v>1224490.9160799996</v>
      </c>
      <c r="E82" s="270">
        <v>694204.56495000003</v>
      </c>
      <c r="F82" s="270">
        <v>499836.9197733613</v>
      </c>
      <c r="G82" s="270">
        <v>92620.567593461121</v>
      </c>
      <c r="H82" s="270">
        <v>336141.65646669769</v>
      </c>
      <c r="I82" s="270">
        <v>494430.84011127299</v>
      </c>
      <c r="J82" s="270">
        <v>830572.49657797068</v>
      </c>
      <c r="K82" s="270">
        <v>256519.26800000001</v>
      </c>
      <c r="L82" s="282">
        <v>343047.946</v>
      </c>
      <c r="M82" s="282">
        <v>0</v>
      </c>
      <c r="N82" s="268">
        <v>231005.28257797068</v>
      </c>
      <c r="P82" s="282"/>
      <c r="Q82" s="282"/>
      <c r="S82" s="270"/>
      <c r="U82" s="270"/>
      <c r="W82" s="270"/>
      <c r="Y82" s="270"/>
      <c r="AA82" s="270"/>
      <c r="AC82" s="270"/>
      <c r="AE82" s="270"/>
      <c r="AG82" s="270"/>
      <c r="AI82" s="270"/>
      <c r="AK82" s="270"/>
    </row>
    <row r="83" spans="1:37">
      <c r="A83" s="269">
        <v>28</v>
      </c>
      <c r="B83" s="273">
        <v>2033</v>
      </c>
      <c r="C83" s="270">
        <v>2847294.6248635198</v>
      </c>
      <c r="D83" s="270">
        <v>1224490.9160799996</v>
      </c>
      <c r="E83" s="270">
        <v>694204.56495000003</v>
      </c>
      <c r="F83" s="270">
        <v>499836.9197733613</v>
      </c>
      <c r="G83" s="270">
        <v>57711.240593461131</v>
      </c>
      <c r="H83" s="270">
        <v>371050.98346669768</v>
      </c>
      <c r="I83" s="270">
        <v>494430.84011127299</v>
      </c>
      <c r="J83" s="270">
        <v>865481.82357797073</v>
      </c>
      <c r="K83" s="270">
        <v>238944.41024999999</v>
      </c>
      <c r="L83" s="282">
        <v>390993.16899999999</v>
      </c>
      <c r="M83" s="282">
        <v>4346.9350000000004</v>
      </c>
      <c r="N83" s="268">
        <v>231197.30932797075</v>
      </c>
      <c r="P83" s="282"/>
      <c r="Q83" s="282"/>
      <c r="S83" s="270"/>
      <c r="U83" s="270"/>
      <c r="W83" s="270"/>
      <c r="Y83" s="270"/>
      <c r="AA83" s="270"/>
      <c r="AC83" s="270"/>
      <c r="AE83" s="270"/>
      <c r="AG83" s="270"/>
      <c r="AI83" s="270"/>
      <c r="AK83" s="270"/>
    </row>
    <row r="84" spans="1:37">
      <c r="A84" s="269">
        <v>29</v>
      </c>
      <c r="B84" s="273">
        <v>2034</v>
      </c>
      <c r="C84" s="270">
        <v>2847294.6248635198</v>
      </c>
      <c r="D84" s="270">
        <v>1224490.9160799996</v>
      </c>
      <c r="E84" s="270">
        <v>694204.56495000003</v>
      </c>
      <c r="F84" s="270">
        <v>499836.9197733613</v>
      </c>
      <c r="G84" s="270">
        <v>18629.710593461117</v>
      </c>
      <c r="H84" s="270">
        <v>410132.51346669771</v>
      </c>
      <c r="I84" s="270">
        <v>494430.84011127299</v>
      </c>
      <c r="J84" s="270">
        <v>904563.35357797076</v>
      </c>
      <c r="K84" s="270">
        <v>254513.47175</v>
      </c>
      <c r="L84" s="282">
        <v>419779.73700000002</v>
      </c>
      <c r="M84" s="282">
        <v>0</v>
      </c>
      <c r="N84" s="268">
        <v>230270.14482797074</v>
      </c>
      <c r="P84" s="282"/>
      <c r="Q84" s="282"/>
      <c r="S84" s="270"/>
      <c r="U84" s="270"/>
      <c r="W84" s="270"/>
      <c r="Y84" s="270"/>
      <c r="AA84" s="270"/>
      <c r="AC84" s="270"/>
      <c r="AE84" s="270"/>
      <c r="AG84" s="270"/>
      <c r="AI84" s="270"/>
      <c r="AK84" s="270"/>
    </row>
    <row r="85" spans="1:37">
      <c r="A85" s="269">
        <v>30</v>
      </c>
      <c r="B85" s="273">
        <v>2035</v>
      </c>
      <c r="C85" s="270">
        <v>2847294.6248635198</v>
      </c>
      <c r="D85" s="270">
        <v>1224490.9160799996</v>
      </c>
      <c r="E85" s="270">
        <v>694204.56495000003</v>
      </c>
      <c r="F85" s="270">
        <v>499836.9197733613</v>
      </c>
      <c r="G85" s="270">
        <v>47743.389593461114</v>
      </c>
      <c r="H85" s="270">
        <v>381018.83446669771</v>
      </c>
      <c r="I85" s="270">
        <v>494430.84011127299</v>
      </c>
      <c r="J85" s="270">
        <v>875449.67457797076</v>
      </c>
      <c r="K85" s="270">
        <v>217720.34325000001</v>
      </c>
      <c r="L85" s="282">
        <v>421464.82400000002</v>
      </c>
      <c r="M85" s="282">
        <v>7694.5450000000001</v>
      </c>
      <c r="N85" s="268">
        <v>228569.96232797074</v>
      </c>
      <c r="P85" s="282"/>
      <c r="Q85" s="282"/>
      <c r="S85" s="270"/>
      <c r="U85" s="270"/>
      <c r="W85" s="270"/>
      <c r="Y85" s="270"/>
      <c r="AA85" s="270"/>
      <c r="AC85" s="270"/>
      <c r="AE85" s="270"/>
      <c r="AG85" s="270"/>
      <c r="AI85" s="270"/>
      <c r="AK85" s="270"/>
    </row>
    <row r="86" spans="1:37">
      <c r="A86" s="269">
        <v>31</v>
      </c>
      <c r="B86" s="273">
        <v>2036</v>
      </c>
      <c r="C86" s="270">
        <v>2847294.6248635198</v>
      </c>
      <c r="D86" s="270">
        <v>1224490.9160799996</v>
      </c>
      <c r="E86" s="270">
        <v>694204.56495000003</v>
      </c>
      <c r="F86" s="270">
        <v>499836.9197733613</v>
      </c>
      <c r="G86" s="270">
        <v>51252.407593461117</v>
      </c>
      <c r="H86" s="270">
        <v>377509.81646669772</v>
      </c>
      <c r="I86" s="270">
        <v>494430.84011127299</v>
      </c>
      <c r="J86" s="270">
        <v>871940.65657797072</v>
      </c>
      <c r="K86" s="270">
        <v>206155.39850000001</v>
      </c>
      <c r="L86" s="282">
        <v>408961.39199999999</v>
      </c>
      <c r="M86" s="282">
        <v>28920.449000000001</v>
      </c>
      <c r="N86" s="268">
        <v>227903.41707797069</v>
      </c>
      <c r="P86" s="282"/>
      <c r="Q86" s="282"/>
      <c r="S86" s="270"/>
      <c r="U86" s="270"/>
      <c r="W86" s="270"/>
      <c r="Y86" s="270"/>
      <c r="AA86" s="270"/>
      <c r="AC86" s="270"/>
      <c r="AE86" s="270"/>
      <c r="AG86" s="270"/>
      <c r="AI86" s="270"/>
      <c r="AK86" s="270"/>
    </row>
    <row r="87" spans="1:37">
      <c r="A87" s="269">
        <v>32</v>
      </c>
      <c r="B87" s="273">
        <v>2037</v>
      </c>
      <c r="C87" s="270">
        <v>2847294.6248635198</v>
      </c>
      <c r="D87" s="270">
        <v>1224490.9160799996</v>
      </c>
      <c r="E87" s="270">
        <v>694204.56495000003</v>
      </c>
      <c r="F87" s="270">
        <v>499836.9197733613</v>
      </c>
      <c r="G87" s="270">
        <v>39269.387593461128</v>
      </c>
      <c r="H87" s="270">
        <v>389492.83646669768</v>
      </c>
      <c r="I87" s="270">
        <v>494430.84011127299</v>
      </c>
      <c r="J87" s="270">
        <v>883923.67657797062</v>
      </c>
      <c r="K87" s="270">
        <v>199959.035</v>
      </c>
      <c r="L87" s="282">
        <v>441341.58500000002</v>
      </c>
      <c r="M87" s="282">
        <v>15427.463</v>
      </c>
      <c r="N87" s="268">
        <v>227195.59357797061</v>
      </c>
      <c r="P87" s="282"/>
      <c r="Q87" s="282"/>
      <c r="S87" s="270"/>
      <c r="U87" s="270"/>
      <c r="W87" s="270"/>
      <c r="Y87" s="270"/>
      <c r="AA87" s="270"/>
      <c r="AC87" s="270"/>
      <c r="AE87" s="270"/>
      <c r="AG87" s="270"/>
      <c r="AI87" s="270"/>
      <c r="AK87" s="270"/>
    </row>
    <row r="88" spans="1:37">
      <c r="A88" s="269">
        <v>33</v>
      </c>
      <c r="B88" s="273">
        <v>2038</v>
      </c>
      <c r="C88" s="270">
        <v>2847294.6248635198</v>
      </c>
      <c r="D88" s="270">
        <v>1224490.9160799996</v>
      </c>
      <c r="E88" s="270">
        <v>694204.56495000003</v>
      </c>
      <c r="F88" s="270">
        <v>499836.9197733613</v>
      </c>
      <c r="G88" s="270">
        <v>27022.17059346112</v>
      </c>
      <c r="H88" s="270">
        <v>401740.05346669769</v>
      </c>
      <c r="I88" s="270">
        <v>494430.84011127299</v>
      </c>
      <c r="J88" s="270">
        <v>896170.89357797068</v>
      </c>
      <c r="K88" s="270">
        <v>190991.67624999999</v>
      </c>
      <c r="L88" s="282">
        <v>479125.48499999999</v>
      </c>
      <c r="M88" s="282">
        <v>0</v>
      </c>
      <c r="N88" s="268">
        <v>226053.73232797071</v>
      </c>
      <c r="P88" s="282"/>
      <c r="Q88" s="282"/>
      <c r="S88" s="270"/>
      <c r="U88" s="270"/>
      <c r="W88" s="270"/>
      <c r="Y88" s="270"/>
      <c r="AA88" s="270"/>
      <c r="AC88" s="270"/>
      <c r="AE88" s="270"/>
      <c r="AG88" s="270"/>
      <c r="AI88" s="270"/>
      <c r="AK88" s="270"/>
    </row>
    <row r="89" spans="1:37">
      <c r="A89" s="269">
        <v>34</v>
      </c>
      <c r="B89" s="273">
        <v>2039</v>
      </c>
      <c r="C89" s="270">
        <v>2847294.6248635198</v>
      </c>
      <c r="D89" s="270">
        <v>1224490.9160799996</v>
      </c>
      <c r="E89" s="270">
        <v>694204.56495000003</v>
      </c>
      <c r="F89" s="270">
        <v>499836.9197733613</v>
      </c>
      <c r="G89" s="270">
        <v>13824.529593461124</v>
      </c>
      <c r="H89" s="270">
        <v>414937.69446669769</v>
      </c>
      <c r="I89" s="270">
        <v>494430.84011127299</v>
      </c>
      <c r="J89" s="270">
        <v>909368.53457797063</v>
      </c>
      <c r="K89" s="270">
        <v>174720.02175000001</v>
      </c>
      <c r="L89" s="282">
        <v>495123.38099999999</v>
      </c>
      <c r="M89" s="282">
        <v>13995.125</v>
      </c>
      <c r="N89" s="268">
        <v>225530.00682797062</v>
      </c>
      <c r="P89" s="282"/>
      <c r="Q89" s="282"/>
      <c r="S89" s="270"/>
      <c r="U89" s="270"/>
      <c r="W89" s="270"/>
      <c r="Y89" s="270"/>
      <c r="AA89" s="270"/>
      <c r="AC89" s="270"/>
      <c r="AE89" s="270"/>
      <c r="AG89" s="270"/>
      <c r="AI89" s="270"/>
      <c r="AK89" s="270"/>
    </row>
    <row r="90" spans="1:37">
      <c r="A90" s="269">
        <v>35</v>
      </c>
      <c r="B90" s="273">
        <v>2040</v>
      </c>
      <c r="C90" s="270">
        <v>2847294.6248635198</v>
      </c>
      <c r="D90" s="270">
        <v>1224490.9160799996</v>
      </c>
      <c r="E90" s="270">
        <v>694204.56495000003</v>
      </c>
      <c r="F90" s="270">
        <v>499836.9197733613</v>
      </c>
      <c r="G90" s="270">
        <v>-316.4874065388758</v>
      </c>
      <c r="H90" s="270">
        <v>429078.71146669768</v>
      </c>
      <c r="I90" s="270">
        <v>494430.84011127299</v>
      </c>
      <c r="J90" s="270">
        <v>923509.55157797062</v>
      </c>
      <c r="K90" s="270">
        <v>175010.79749999999</v>
      </c>
      <c r="L90" s="282">
        <v>522431.27899999998</v>
      </c>
      <c r="M90" s="282">
        <v>0</v>
      </c>
      <c r="N90" s="268">
        <v>226067.47507797065</v>
      </c>
      <c r="P90" s="282"/>
      <c r="Q90" s="282"/>
      <c r="S90" s="270"/>
      <c r="U90" s="270"/>
      <c r="W90" s="270"/>
      <c r="Y90" s="270"/>
      <c r="AA90" s="270"/>
      <c r="AC90" s="270"/>
      <c r="AE90" s="270"/>
      <c r="AG90" s="270"/>
      <c r="AI90" s="270"/>
      <c r="AK90" s="270"/>
    </row>
    <row r="91" spans="1:37">
      <c r="A91" s="269">
        <v>36</v>
      </c>
      <c r="B91" s="273">
        <v>2041</v>
      </c>
      <c r="C91" s="270">
        <v>2847294.6248635198</v>
      </c>
      <c r="D91" s="270">
        <v>1224490.9160799996</v>
      </c>
      <c r="E91" s="270">
        <v>694204.56495000003</v>
      </c>
      <c r="F91" s="270">
        <v>499836.9197733613</v>
      </c>
      <c r="G91" s="270">
        <v>-13606.150406538882</v>
      </c>
      <c r="H91" s="270">
        <v>442368.37446669769</v>
      </c>
      <c r="I91" s="270">
        <v>494430.84011127299</v>
      </c>
      <c r="J91" s="270">
        <v>936799.21457797068</v>
      </c>
      <c r="K91" s="270">
        <v>181490.75825000001</v>
      </c>
      <c r="L91" s="282">
        <v>455535.20699999999</v>
      </c>
      <c r="M91" s="282">
        <v>73659</v>
      </c>
      <c r="N91" s="268">
        <v>226114.24932797067</v>
      </c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C91" s="270"/>
      <c r="AE91" s="270"/>
      <c r="AG91" s="270"/>
      <c r="AI91" s="270"/>
      <c r="AK91" s="270"/>
    </row>
    <row r="92" spans="1:37">
      <c r="A92" s="269">
        <v>37</v>
      </c>
      <c r="B92" s="273">
        <v>2042</v>
      </c>
      <c r="C92" s="270">
        <v>2847294.6248635198</v>
      </c>
      <c r="D92" s="270">
        <v>1224490.9160799996</v>
      </c>
      <c r="E92" s="270">
        <v>694204.56495000003</v>
      </c>
      <c r="F92" s="270">
        <v>499836.9197733613</v>
      </c>
      <c r="G92" s="270">
        <v>-22428.307406538879</v>
      </c>
      <c r="H92" s="270">
        <v>451190.53146669769</v>
      </c>
      <c r="I92" s="270">
        <v>494430.84011127299</v>
      </c>
      <c r="J92" s="270">
        <v>945621.37157797068</v>
      </c>
      <c r="K92" s="270">
        <v>174139.19025000001</v>
      </c>
      <c r="L92" s="282">
        <v>550528.201</v>
      </c>
      <c r="M92" s="282">
        <v>0</v>
      </c>
      <c r="N92" s="268">
        <v>220953.98032797067</v>
      </c>
      <c r="P92" s="282"/>
      <c r="Q92" s="282"/>
      <c r="S92" s="270"/>
      <c r="U92" s="270"/>
      <c r="W92" s="270"/>
      <c r="Y92" s="270"/>
      <c r="AA92" s="270"/>
      <c r="AC92" s="270"/>
      <c r="AE92" s="270"/>
      <c r="AG92" s="270"/>
      <c r="AI92" s="270"/>
      <c r="AK92" s="270"/>
    </row>
    <row r="93" spans="1:37">
      <c r="A93" s="269">
        <v>38</v>
      </c>
      <c r="B93" s="273">
        <v>2043</v>
      </c>
      <c r="C93" s="270">
        <v>2847294.6248635198</v>
      </c>
      <c r="D93" s="270">
        <v>1224490.9160799996</v>
      </c>
      <c r="E93" s="270">
        <v>694204.56495000003</v>
      </c>
      <c r="F93" s="270">
        <v>499836.9197733613</v>
      </c>
      <c r="G93" s="270">
        <v>-34693.980406538874</v>
      </c>
      <c r="H93" s="270">
        <v>463456.2044666977</v>
      </c>
      <c r="I93" s="270">
        <v>494430.84011127299</v>
      </c>
      <c r="J93" s="270">
        <v>957887.04457797064</v>
      </c>
      <c r="K93" s="270">
        <v>70035.412750000003</v>
      </c>
      <c r="L93" s="282">
        <v>671369.99199999997</v>
      </c>
      <c r="M93" s="282">
        <v>0</v>
      </c>
      <c r="N93" s="268">
        <v>216481.63982797065</v>
      </c>
      <c r="P93" s="282"/>
      <c r="Q93" s="282"/>
      <c r="S93" s="270"/>
      <c r="U93" s="270"/>
      <c r="W93" s="270"/>
      <c r="Y93" s="270"/>
      <c r="AA93" s="270"/>
      <c r="AC93" s="270"/>
      <c r="AE93" s="270"/>
      <c r="AG93" s="270"/>
      <c r="AI93" s="270"/>
      <c r="AK93" s="270"/>
    </row>
    <row r="94" spans="1:37">
      <c r="A94" s="269">
        <v>39</v>
      </c>
      <c r="B94" s="273">
        <v>2044</v>
      </c>
      <c r="C94" s="270">
        <v>2847294.6248635198</v>
      </c>
      <c r="D94" s="270">
        <v>1224490.9160799996</v>
      </c>
      <c r="E94" s="270">
        <v>694204.56495000003</v>
      </c>
      <c r="F94" s="270">
        <v>499836.9197733613</v>
      </c>
      <c r="G94" s="270">
        <v>-45074.51040653888</v>
      </c>
      <c r="H94" s="270">
        <v>473836.73446669773</v>
      </c>
      <c r="I94" s="270">
        <v>494430.84011127299</v>
      </c>
      <c r="J94" s="270">
        <v>968267.57457797066</v>
      </c>
      <c r="K94" s="270">
        <v>175722.07225</v>
      </c>
      <c r="L94" s="282">
        <v>577875.48699999996</v>
      </c>
      <c r="M94" s="282">
        <v>0</v>
      </c>
      <c r="N94" s="268">
        <v>214670.0153279707</v>
      </c>
      <c r="P94" s="282"/>
      <c r="Q94" s="282"/>
      <c r="S94" s="270"/>
      <c r="U94" s="270"/>
      <c r="W94" s="270"/>
      <c r="Y94" s="270"/>
      <c r="AA94" s="270"/>
      <c r="AC94" s="270"/>
      <c r="AE94" s="270"/>
      <c r="AG94" s="270"/>
      <c r="AI94" s="270"/>
      <c r="AK94" s="270"/>
    </row>
    <row r="95" spans="1:37">
      <c r="A95" s="269">
        <v>40</v>
      </c>
      <c r="B95" s="273">
        <v>2045</v>
      </c>
      <c r="C95" s="270">
        <v>2847294.6248635198</v>
      </c>
      <c r="D95" s="270">
        <v>1224490.9160799996</v>
      </c>
      <c r="E95" s="270">
        <v>694204.56495000003</v>
      </c>
      <c r="F95" s="270">
        <v>499836.9197733613</v>
      </c>
      <c r="G95" s="270">
        <v>-49631.09540653888</v>
      </c>
      <c r="H95" s="270">
        <v>478393.31946669769</v>
      </c>
      <c r="I95" s="270">
        <v>494430.84011127299</v>
      </c>
      <c r="J95" s="270">
        <v>972824.15957797063</v>
      </c>
      <c r="K95" s="270">
        <v>489036.09250000003</v>
      </c>
      <c r="L95" s="282">
        <v>259842.77299999999</v>
      </c>
      <c r="M95" s="282">
        <v>11479.395</v>
      </c>
      <c r="N95" s="268">
        <v>212465.89907797053</v>
      </c>
      <c r="P95" s="282"/>
      <c r="Q95" s="282"/>
      <c r="S95" s="270"/>
      <c r="U95" s="270"/>
      <c r="W95" s="270"/>
      <c r="Y95" s="270"/>
      <c r="AA95" s="270"/>
      <c r="AC95" s="270"/>
      <c r="AE95" s="270"/>
      <c r="AG95" s="270"/>
      <c r="AI95" s="270"/>
      <c r="AK95" s="270"/>
    </row>
    <row r="96" spans="1:37">
      <c r="A96" s="269">
        <v>41</v>
      </c>
      <c r="B96" s="273">
        <v>2046</v>
      </c>
      <c r="C96" s="270">
        <v>2847294.6248635198</v>
      </c>
      <c r="D96" s="270">
        <v>1224490.9160799996</v>
      </c>
      <c r="E96" s="270">
        <v>694204.56495000003</v>
      </c>
      <c r="F96" s="270">
        <v>499836.9197733613</v>
      </c>
      <c r="G96" s="270">
        <v>-49993.011406538877</v>
      </c>
      <c r="H96" s="270">
        <v>478755.23546669772</v>
      </c>
      <c r="I96" s="270">
        <v>494430.84011127299</v>
      </c>
      <c r="J96" s="270">
        <v>973186.07557797071</v>
      </c>
      <c r="K96" s="270">
        <v>489035.16249999998</v>
      </c>
      <c r="L96" s="282">
        <v>271685.01400000002</v>
      </c>
      <c r="M96" s="282">
        <v>0</v>
      </c>
      <c r="N96" s="268">
        <v>212465.89907797065</v>
      </c>
      <c r="P96" s="282"/>
      <c r="Q96" s="282"/>
      <c r="S96" s="270"/>
      <c r="U96" s="270"/>
      <c r="W96" s="270"/>
      <c r="Y96" s="270"/>
      <c r="AA96" s="270"/>
      <c r="AC96" s="270"/>
      <c r="AE96" s="270"/>
      <c r="AG96" s="270"/>
      <c r="AI96" s="270"/>
      <c r="AK96" s="270"/>
    </row>
    <row r="97" spans="1:37">
      <c r="A97" s="269">
        <v>42</v>
      </c>
      <c r="B97" s="273">
        <v>2047</v>
      </c>
      <c r="C97" s="270">
        <v>2847294.6248635198</v>
      </c>
      <c r="D97" s="270">
        <v>1224490.9160799996</v>
      </c>
      <c r="E97" s="270">
        <v>694204.56495000003</v>
      </c>
      <c r="F97" s="270">
        <v>499836.9197733613</v>
      </c>
      <c r="G97" s="270">
        <v>-50528.229406538878</v>
      </c>
      <c r="H97" s="270">
        <v>479290.45346669771</v>
      </c>
      <c r="I97" s="270">
        <v>494430.84011127299</v>
      </c>
      <c r="J97" s="270">
        <v>973721.2935779707</v>
      </c>
      <c r="K97" s="270">
        <v>489037.30499999999</v>
      </c>
      <c r="L97" s="282">
        <v>272218.09000000003</v>
      </c>
      <c r="M97" s="282">
        <v>0</v>
      </c>
      <c r="N97" s="268">
        <v>212465.89857797063</v>
      </c>
      <c r="P97" s="282"/>
      <c r="Q97" s="282"/>
      <c r="S97" s="270"/>
      <c r="U97" s="270"/>
      <c r="W97" s="270"/>
      <c r="Y97" s="270"/>
      <c r="AA97" s="270"/>
      <c r="AC97" s="270"/>
      <c r="AE97" s="270"/>
      <c r="AG97" s="270"/>
      <c r="AI97" s="270"/>
      <c r="AK97" s="270"/>
    </row>
    <row r="98" spans="1:37">
      <c r="A98" s="269">
        <v>43</v>
      </c>
      <c r="B98" s="273">
        <v>2048</v>
      </c>
      <c r="C98" s="270">
        <v>2847294.6248635198</v>
      </c>
      <c r="D98" s="270">
        <v>1224490.9160799996</v>
      </c>
      <c r="E98" s="270">
        <v>694204.56495000003</v>
      </c>
      <c r="F98" s="270">
        <v>499836.9197733613</v>
      </c>
      <c r="G98" s="270">
        <v>-51078.65040653888</v>
      </c>
      <c r="H98" s="270">
        <v>479840.87446669769</v>
      </c>
      <c r="I98" s="270">
        <v>494430.84011127299</v>
      </c>
      <c r="J98" s="270">
        <v>974271.71457797068</v>
      </c>
      <c r="K98" s="270">
        <v>489035.14</v>
      </c>
      <c r="L98" s="282">
        <v>272770.67599999998</v>
      </c>
      <c r="M98" s="282">
        <v>0</v>
      </c>
      <c r="N98" s="268">
        <v>212465.89857797069</v>
      </c>
      <c r="P98" s="282"/>
      <c r="Q98" s="282"/>
      <c r="S98" s="270"/>
      <c r="U98" s="270"/>
      <c r="W98" s="270"/>
      <c r="Y98" s="270"/>
      <c r="AA98" s="270"/>
      <c r="AC98" s="270"/>
      <c r="AE98" s="270"/>
      <c r="AG98" s="270"/>
      <c r="AI98" s="270"/>
      <c r="AK98" s="270"/>
    </row>
    <row r="99" spans="1:37">
      <c r="A99" s="269">
        <v>44</v>
      </c>
      <c r="B99" s="273">
        <v>2049</v>
      </c>
      <c r="C99" s="270">
        <v>2847294.6248635198</v>
      </c>
      <c r="D99" s="270">
        <v>1224490.9160799996</v>
      </c>
      <c r="E99" s="270">
        <v>694204.56495000003</v>
      </c>
      <c r="F99" s="270">
        <v>499836.9197733613</v>
      </c>
      <c r="G99" s="270">
        <v>-51644.72440653888</v>
      </c>
      <c r="H99" s="270">
        <v>480406.94846669771</v>
      </c>
      <c r="I99" s="270">
        <v>494430.84011127299</v>
      </c>
      <c r="J99" s="270">
        <v>974837.7885779707</v>
      </c>
      <c r="K99" s="270">
        <v>489035.92499999999</v>
      </c>
      <c r="L99" s="282">
        <v>273335.96500000003</v>
      </c>
      <c r="M99" s="282">
        <v>0</v>
      </c>
      <c r="N99" s="268">
        <v>212465.89857797074</v>
      </c>
      <c r="P99" s="282"/>
      <c r="Q99" s="282"/>
      <c r="S99" s="270"/>
      <c r="U99" s="270"/>
      <c r="W99" s="270"/>
      <c r="Y99" s="270"/>
      <c r="AA99" s="270"/>
      <c r="AC99" s="270"/>
      <c r="AE99" s="270"/>
      <c r="AG99" s="270"/>
      <c r="AI99" s="270"/>
      <c r="AK99" s="270"/>
    </row>
    <row r="100" spans="1:37">
      <c r="A100" s="269">
        <v>45</v>
      </c>
      <c r="B100" s="273">
        <v>2050</v>
      </c>
      <c r="C100" s="270">
        <v>2847294.6248635198</v>
      </c>
      <c r="D100" s="270">
        <v>1224490.9160799996</v>
      </c>
      <c r="E100" s="270">
        <v>694204.56495000003</v>
      </c>
      <c r="F100" s="270">
        <v>499836.9197733613</v>
      </c>
      <c r="G100" s="270">
        <v>-51995.961406538881</v>
      </c>
      <c r="H100" s="270">
        <v>480758.18546669773</v>
      </c>
      <c r="I100" s="270">
        <v>494430.84011127299</v>
      </c>
      <c r="J100" s="270">
        <v>975189.02557797078</v>
      </c>
      <c r="K100" s="270">
        <v>489035.685</v>
      </c>
      <c r="L100" s="282">
        <v>257425.065</v>
      </c>
      <c r="M100" s="282">
        <v>0</v>
      </c>
      <c r="N100" s="268">
        <v>228728.27557797084</v>
      </c>
      <c r="P100" s="282"/>
      <c r="Q100" s="282"/>
      <c r="S100" s="270"/>
      <c r="U100" s="270"/>
      <c r="W100" s="270"/>
      <c r="Y100" s="270"/>
      <c r="AA100" s="270"/>
      <c r="AC100" s="270"/>
      <c r="AE100" s="270"/>
      <c r="AG100" s="270"/>
      <c r="AI100" s="270"/>
      <c r="AK100" s="270"/>
    </row>
    <row r="101" spans="1:37">
      <c r="A101" s="269">
        <v>46</v>
      </c>
      <c r="B101" s="273">
        <v>2051</v>
      </c>
      <c r="C101" s="270">
        <v>2847294.6248635198</v>
      </c>
      <c r="D101" s="270">
        <v>1224490.9160799996</v>
      </c>
      <c r="E101" s="270">
        <v>694204.56495000003</v>
      </c>
      <c r="F101" s="270">
        <v>499836.9197733613</v>
      </c>
      <c r="G101" s="270">
        <v>-52060.179406538882</v>
      </c>
      <c r="H101" s="270">
        <v>480822.40346669772</v>
      </c>
      <c r="I101" s="270">
        <v>494430.84011127299</v>
      </c>
      <c r="J101" s="270">
        <v>975253.24357797066</v>
      </c>
      <c r="K101" s="270">
        <v>489034.79249999998</v>
      </c>
      <c r="L101" s="282">
        <v>252839.40599999999</v>
      </c>
      <c r="M101" s="282">
        <v>0</v>
      </c>
      <c r="N101" s="268">
        <v>233379.04507797072</v>
      </c>
      <c r="P101" s="282"/>
      <c r="Q101" s="282"/>
      <c r="S101" s="270"/>
      <c r="U101" s="270"/>
      <c r="W101" s="270"/>
      <c r="Y101" s="270"/>
      <c r="AA101" s="270"/>
      <c r="AC101" s="270"/>
      <c r="AE101" s="270"/>
      <c r="AG101" s="270"/>
      <c r="AI101" s="270"/>
      <c r="AK101" s="270"/>
    </row>
    <row r="102" spans="1:37">
      <c r="A102" s="269">
        <v>47</v>
      </c>
      <c r="B102" s="273">
        <v>2052</v>
      </c>
      <c r="C102" s="270">
        <v>2847294.6248635198</v>
      </c>
      <c r="D102" s="270">
        <v>1224490.9160799996</v>
      </c>
      <c r="E102" s="270">
        <v>694204.56495000003</v>
      </c>
      <c r="F102" s="270">
        <v>499836.9197733613</v>
      </c>
      <c r="G102" s="270">
        <v>-52060.179406538882</v>
      </c>
      <c r="H102" s="270">
        <v>480822.40346669772</v>
      </c>
      <c r="I102" s="270">
        <v>494430.84011127299</v>
      </c>
      <c r="J102" s="270">
        <v>975253.24357797066</v>
      </c>
      <c r="K102" s="270">
        <v>489035.17749999999</v>
      </c>
      <c r="L102" s="282">
        <v>252839.40599999999</v>
      </c>
      <c r="M102" s="282">
        <v>0</v>
      </c>
      <c r="N102" s="268">
        <v>233378.66007797071</v>
      </c>
      <c r="P102" s="282"/>
      <c r="Q102" s="282"/>
      <c r="S102" s="270"/>
      <c r="U102" s="270"/>
      <c r="W102" s="270"/>
      <c r="Y102" s="270"/>
      <c r="AA102" s="270"/>
      <c r="AC102" s="270"/>
      <c r="AE102" s="270"/>
      <c r="AG102" s="270"/>
      <c r="AI102" s="270"/>
      <c r="AK102" s="270"/>
    </row>
    <row r="103" spans="1:37">
      <c r="A103" s="269">
        <v>48</v>
      </c>
      <c r="B103" s="273">
        <v>2053</v>
      </c>
      <c r="C103" s="270">
        <v>2847294.6248635198</v>
      </c>
      <c r="D103" s="270">
        <v>1224490.9160799996</v>
      </c>
      <c r="E103" s="270">
        <v>694204.56495000003</v>
      </c>
      <c r="F103" s="270">
        <v>499836.9197733613</v>
      </c>
      <c r="G103" s="270">
        <v>-52060.179406538882</v>
      </c>
      <c r="H103" s="270">
        <v>480822.40346669772</v>
      </c>
      <c r="I103" s="270">
        <v>494430.84011127299</v>
      </c>
      <c r="J103" s="270">
        <v>975253.24357797066</v>
      </c>
      <c r="K103" s="270">
        <v>489035.1825</v>
      </c>
      <c r="L103" s="282">
        <v>252839.40599999999</v>
      </c>
      <c r="M103" s="282">
        <v>0</v>
      </c>
      <c r="N103" s="268">
        <v>233378.6550779707</v>
      </c>
      <c r="P103" s="282"/>
      <c r="Q103" s="282"/>
      <c r="S103" s="270"/>
      <c r="U103" s="270"/>
      <c r="W103" s="270"/>
      <c r="Y103" s="270"/>
      <c r="AA103" s="270"/>
      <c r="AC103" s="270"/>
      <c r="AE103" s="270"/>
      <c r="AG103" s="270"/>
      <c r="AI103" s="270"/>
      <c r="AK103" s="270"/>
    </row>
    <row r="104" spans="1:37">
      <c r="A104" s="269">
        <v>49</v>
      </c>
      <c r="B104" s="273">
        <v>2054</v>
      </c>
      <c r="C104" s="270">
        <v>2847294.6248635198</v>
      </c>
      <c r="D104" s="270">
        <v>1224490.9160799996</v>
      </c>
      <c r="E104" s="270">
        <v>694204.56495000003</v>
      </c>
      <c r="F104" s="270">
        <v>499836.9197733613</v>
      </c>
      <c r="G104" s="270">
        <v>-52060.179406538882</v>
      </c>
      <c r="H104" s="270">
        <v>480822.40346669772</v>
      </c>
      <c r="I104" s="270">
        <v>494430.84011127299</v>
      </c>
      <c r="J104" s="270">
        <v>975253.24357797066</v>
      </c>
      <c r="K104" s="270">
        <v>489035.95750000002</v>
      </c>
      <c r="L104" s="282">
        <v>252839.40599999999</v>
      </c>
      <c r="M104" s="282">
        <v>0</v>
      </c>
      <c r="N104" s="268">
        <v>233377.88007797068</v>
      </c>
      <c r="P104" s="282"/>
      <c r="Q104" s="282"/>
      <c r="S104" s="270"/>
      <c r="U104" s="270"/>
      <c r="W104" s="270"/>
      <c r="Y104" s="270"/>
      <c r="AA104" s="270"/>
      <c r="AC104" s="270"/>
      <c r="AE104" s="270"/>
      <c r="AG104" s="270"/>
      <c r="AI104" s="270"/>
      <c r="AK104" s="270"/>
    </row>
    <row r="105" spans="1:37">
      <c r="A105" s="269">
        <v>50</v>
      </c>
      <c r="B105" s="273">
        <v>2055</v>
      </c>
      <c r="C105" s="270">
        <v>2847294.6248635198</v>
      </c>
      <c r="D105" s="270">
        <v>1224490.9160799996</v>
      </c>
      <c r="E105" s="270">
        <v>694204.56495000003</v>
      </c>
      <c r="F105" s="270">
        <v>499836.9197733613</v>
      </c>
      <c r="G105" s="270">
        <v>-52060.179406538882</v>
      </c>
      <c r="H105" s="270">
        <v>480822.40346669772</v>
      </c>
      <c r="I105" s="270">
        <v>494430.84011127299</v>
      </c>
      <c r="J105" s="270">
        <v>975253.24357797066</v>
      </c>
      <c r="K105" s="270">
        <v>489036.24249999999</v>
      </c>
      <c r="L105" s="282">
        <v>252839.40599999999</v>
      </c>
      <c r="M105" s="282">
        <v>0</v>
      </c>
      <c r="N105" s="268">
        <v>233377.59507797071</v>
      </c>
      <c r="P105" s="282"/>
      <c r="Q105" s="282"/>
      <c r="S105" s="270"/>
      <c r="U105" s="270"/>
      <c r="W105" s="270"/>
      <c r="Y105" s="270"/>
      <c r="AA105" s="270"/>
      <c r="AC105" s="270"/>
      <c r="AE105" s="270"/>
      <c r="AG105" s="270"/>
      <c r="AI105" s="270"/>
      <c r="AK105" s="270"/>
    </row>
    <row r="106" spans="1:37">
      <c r="A106" s="269">
        <v>51</v>
      </c>
      <c r="B106" s="273">
        <v>2056</v>
      </c>
      <c r="C106" s="270">
        <v>2847294.6248635198</v>
      </c>
      <c r="D106" s="270">
        <v>1224490.9160799996</v>
      </c>
      <c r="E106" s="270">
        <v>694204.56495000003</v>
      </c>
      <c r="F106" s="270">
        <v>499836.9197733613</v>
      </c>
      <c r="G106" s="270">
        <v>-52060.180406538879</v>
      </c>
      <c r="H106" s="270">
        <v>480822.40446669771</v>
      </c>
      <c r="I106" s="270">
        <v>494430.84011127299</v>
      </c>
      <c r="J106" s="270">
        <v>975253.2445779707</v>
      </c>
      <c r="K106" s="270">
        <v>489033.69</v>
      </c>
      <c r="L106" s="282">
        <v>252839.40599999999</v>
      </c>
      <c r="M106" s="282">
        <v>0</v>
      </c>
      <c r="N106" s="268">
        <v>233380.14857797074</v>
      </c>
      <c r="P106" s="282"/>
      <c r="Q106" s="282"/>
      <c r="S106" s="270"/>
      <c r="U106" s="270"/>
      <c r="W106" s="270"/>
      <c r="Y106" s="270"/>
      <c r="AA106" s="270"/>
      <c r="AC106" s="270"/>
      <c r="AE106" s="270"/>
      <c r="AG106" s="270"/>
      <c r="AI106" s="270"/>
      <c r="AK106" s="270"/>
    </row>
    <row r="107" spans="1:37">
      <c r="A107" s="269">
        <v>52</v>
      </c>
      <c r="B107" s="273">
        <v>2057</v>
      </c>
      <c r="C107" s="270">
        <v>2847294.6248635198</v>
      </c>
      <c r="D107" s="270">
        <v>1224490.9160799996</v>
      </c>
      <c r="E107" s="270">
        <v>694204.56495000003</v>
      </c>
      <c r="F107" s="270">
        <v>499836.9197733613</v>
      </c>
      <c r="G107" s="270">
        <v>-52060.180406538879</v>
      </c>
      <c r="H107" s="270">
        <v>480822.40446669771</v>
      </c>
      <c r="I107" s="270">
        <v>494430.84011127299</v>
      </c>
      <c r="J107" s="270">
        <v>975253.2445779707</v>
      </c>
      <c r="K107" s="270">
        <v>489033.61499999999</v>
      </c>
      <c r="L107" s="282">
        <v>252839.40599999999</v>
      </c>
      <c r="M107" s="282">
        <v>0</v>
      </c>
      <c r="N107" s="268">
        <v>233380.22357797076</v>
      </c>
      <c r="P107" s="282"/>
      <c r="Q107" s="282"/>
      <c r="S107" s="270"/>
      <c r="U107" s="270"/>
      <c r="W107" s="270"/>
      <c r="Y107" s="270"/>
      <c r="AA107" s="270"/>
      <c r="AC107" s="270"/>
      <c r="AE107" s="270"/>
      <c r="AG107" s="270"/>
      <c r="AI107" s="270"/>
      <c r="AK107" s="270"/>
    </row>
    <row r="108" spans="1:37">
      <c r="A108" s="269">
        <v>53</v>
      </c>
      <c r="B108" s="273">
        <v>2058</v>
      </c>
      <c r="C108" s="270">
        <v>2847294.6248635198</v>
      </c>
      <c r="D108" s="270">
        <v>1224490.9160799996</v>
      </c>
      <c r="E108" s="270">
        <v>694204.56495000003</v>
      </c>
      <c r="F108" s="270">
        <v>499836.9197733613</v>
      </c>
      <c r="G108" s="270">
        <v>-52060.179406538882</v>
      </c>
      <c r="H108" s="270">
        <v>480822.40346669772</v>
      </c>
      <c r="I108" s="270">
        <v>494430.84011127299</v>
      </c>
      <c r="J108" s="270">
        <v>975253.24357797066</v>
      </c>
      <c r="K108" s="270">
        <v>489034.73749999999</v>
      </c>
      <c r="L108" s="282">
        <v>252839.40599999999</v>
      </c>
      <c r="M108" s="282">
        <v>0</v>
      </c>
      <c r="N108" s="268">
        <v>233379.10007797071</v>
      </c>
      <c r="P108" s="282"/>
      <c r="Q108" s="282"/>
      <c r="S108" s="270"/>
      <c r="U108" s="270"/>
      <c r="W108" s="270"/>
      <c r="Y108" s="270"/>
      <c r="AA108" s="270"/>
      <c r="AC108" s="270"/>
      <c r="AE108" s="270"/>
      <c r="AG108" s="270"/>
      <c r="AI108" s="270"/>
      <c r="AK108" s="270"/>
    </row>
    <row r="109" spans="1:37">
      <c r="A109" s="269">
        <v>54</v>
      </c>
      <c r="B109" s="273">
        <v>2059</v>
      </c>
      <c r="C109" s="270">
        <v>2847294.6248635198</v>
      </c>
      <c r="D109" s="270">
        <v>1224490.9160799996</v>
      </c>
      <c r="E109" s="270">
        <v>694204.56495000003</v>
      </c>
      <c r="F109" s="270">
        <v>499836.9197733613</v>
      </c>
      <c r="G109" s="270">
        <v>-52060.178406538878</v>
      </c>
      <c r="H109" s="270">
        <v>480822.40246669773</v>
      </c>
      <c r="I109" s="270">
        <v>494430.84011127299</v>
      </c>
      <c r="J109" s="270">
        <v>975253.24257797073</v>
      </c>
      <c r="K109" s="270">
        <v>489038.22249999997</v>
      </c>
      <c r="L109" s="282">
        <v>252839.40599999999</v>
      </c>
      <c r="M109" s="282">
        <v>0</v>
      </c>
      <c r="N109" s="268">
        <v>233375.61407797079</v>
      </c>
      <c r="P109" s="282"/>
      <c r="Q109" s="282"/>
      <c r="S109" s="270"/>
      <c r="U109" s="270"/>
      <c r="W109" s="270"/>
      <c r="Y109" s="270"/>
      <c r="AA109" s="270"/>
      <c r="AC109" s="270"/>
      <c r="AE109" s="270"/>
      <c r="AG109" s="270"/>
      <c r="AI109" s="270"/>
      <c r="AK109" s="270"/>
    </row>
    <row r="110" spans="1:37">
      <c r="A110" s="269">
        <v>55</v>
      </c>
      <c r="B110" s="273">
        <v>2060</v>
      </c>
      <c r="C110" s="270">
        <v>2847294.6248635198</v>
      </c>
      <c r="D110" s="270">
        <v>1224490.9160799996</v>
      </c>
      <c r="E110" s="270">
        <v>694204.56495000003</v>
      </c>
      <c r="F110" s="270">
        <v>499836.9197733613</v>
      </c>
      <c r="G110" s="270">
        <v>-52060.178406538878</v>
      </c>
      <c r="H110" s="270">
        <v>480822.40246669773</v>
      </c>
      <c r="I110" s="270">
        <v>494430.84011127299</v>
      </c>
      <c r="J110" s="270">
        <v>975253.24257797073</v>
      </c>
      <c r="K110" s="270">
        <v>489037.46250000002</v>
      </c>
      <c r="L110" s="282">
        <v>252839.40599999999</v>
      </c>
      <c r="M110" s="282">
        <v>0</v>
      </c>
      <c r="N110" s="268">
        <v>233376.37407797074</v>
      </c>
      <c r="P110" s="282"/>
      <c r="Q110" s="282"/>
      <c r="S110" s="270"/>
      <c r="U110" s="270"/>
      <c r="W110" s="270"/>
      <c r="Y110" s="270"/>
      <c r="AA110" s="270"/>
      <c r="AC110" s="270"/>
      <c r="AE110" s="270"/>
      <c r="AG110" s="270"/>
      <c r="AI110" s="270"/>
      <c r="AK110" s="270"/>
    </row>
    <row r="111" spans="1:37">
      <c r="A111" s="269">
        <v>56</v>
      </c>
      <c r="B111" s="273">
        <v>2061</v>
      </c>
      <c r="C111" s="270">
        <v>2847294.6248635198</v>
      </c>
      <c r="D111" s="270">
        <v>1224490.9160799996</v>
      </c>
      <c r="E111" s="270">
        <v>694204.56495000003</v>
      </c>
      <c r="F111" s="270">
        <v>499836.9197733613</v>
      </c>
      <c r="G111" s="270">
        <v>-52060.179406538882</v>
      </c>
      <c r="H111" s="270">
        <v>480822.40346669772</v>
      </c>
      <c r="I111" s="270">
        <v>494430.84011127299</v>
      </c>
      <c r="J111" s="270">
        <v>975253.24357797066</v>
      </c>
      <c r="K111" s="270">
        <v>489037.19</v>
      </c>
      <c r="L111" s="282">
        <v>252839.40599999999</v>
      </c>
      <c r="M111" s="282">
        <v>0</v>
      </c>
      <c r="N111" s="268">
        <v>233376.6475779707</v>
      </c>
      <c r="P111" s="282"/>
      <c r="Q111" s="282"/>
      <c r="S111" s="270"/>
      <c r="U111" s="270"/>
      <c r="W111" s="270"/>
      <c r="Y111" s="270"/>
      <c r="AA111" s="270"/>
      <c r="AC111" s="270"/>
      <c r="AE111" s="270"/>
      <c r="AG111" s="270"/>
      <c r="AI111" s="270"/>
      <c r="AK111" s="270"/>
    </row>
    <row r="112" spans="1:37">
      <c r="A112" s="269">
        <v>57</v>
      </c>
      <c r="B112" s="273">
        <v>2062</v>
      </c>
      <c r="C112" s="270">
        <v>2847294.6248635198</v>
      </c>
      <c r="D112" s="270">
        <v>1224490.9160799996</v>
      </c>
      <c r="E112" s="270">
        <v>694204.56495000003</v>
      </c>
      <c r="F112" s="270">
        <v>499836.9197733613</v>
      </c>
      <c r="G112" s="270">
        <v>-52060.179406538882</v>
      </c>
      <c r="H112" s="270">
        <v>480822.40346669772</v>
      </c>
      <c r="I112" s="270">
        <v>494430.84011127299</v>
      </c>
      <c r="J112" s="270">
        <v>975253.24357797066</v>
      </c>
      <c r="K112" s="270">
        <v>489035.2525</v>
      </c>
      <c r="L112" s="282">
        <v>252839.40599999999</v>
      </c>
      <c r="M112" s="282">
        <v>0</v>
      </c>
      <c r="N112" s="268">
        <v>233378.5850779707</v>
      </c>
      <c r="P112" s="282"/>
      <c r="Q112" s="282"/>
      <c r="S112" s="270"/>
      <c r="U112" s="270"/>
      <c r="W112" s="270"/>
      <c r="Y112" s="270"/>
      <c r="AA112" s="270"/>
      <c r="AC112" s="270"/>
      <c r="AE112" s="270"/>
      <c r="AG112" s="270"/>
      <c r="AI112" s="270"/>
      <c r="AK112" s="270"/>
    </row>
    <row r="113" spans="1:37">
      <c r="A113" s="269">
        <v>58</v>
      </c>
      <c r="B113" s="273">
        <v>2063</v>
      </c>
      <c r="C113" s="270">
        <v>2847294.6248635198</v>
      </c>
      <c r="D113" s="270">
        <v>1224490.9160799996</v>
      </c>
      <c r="E113" s="270">
        <v>694204.56495000003</v>
      </c>
      <c r="F113" s="270">
        <v>499836.9197733613</v>
      </c>
      <c r="G113" s="270">
        <v>-52060.179406538882</v>
      </c>
      <c r="H113" s="270">
        <v>480822.40346669772</v>
      </c>
      <c r="I113" s="270">
        <v>494430.84011127299</v>
      </c>
      <c r="J113" s="270">
        <v>975253.24357797066</v>
      </c>
      <c r="K113" s="270">
        <v>489035.40250000003</v>
      </c>
      <c r="L113" s="282">
        <v>252839.40599999999</v>
      </c>
      <c r="M113" s="282">
        <v>0</v>
      </c>
      <c r="N113" s="268">
        <v>233378.43507797067</v>
      </c>
      <c r="P113" s="282"/>
      <c r="Q113" s="282"/>
      <c r="S113" s="270"/>
      <c r="U113" s="270"/>
      <c r="W113" s="270"/>
      <c r="Y113" s="270"/>
      <c r="AA113" s="270"/>
      <c r="AC113" s="270"/>
      <c r="AE113" s="270"/>
      <c r="AG113" s="270"/>
      <c r="AI113" s="270"/>
      <c r="AK113" s="270"/>
    </row>
    <row r="114" spans="1:37">
      <c r="A114" s="269">
        <v>59</v>
      </c>
      <c r="B114" s="273">
        <v>2064</v>
      </c>
      <c r="C114" s="270">
        <v>2847294.6248635198</v>
      </c>
      <c r="D114" s="270">
        <v>1224490.9160799996</v>
      </c>
      <c r="E114" s="270">
        <v>694204.56495000003</v>
      </c>
      <c r="F114" s="270">
        <v>499836.9197733613</v>
      </c>
      <c r="G114" s="270">
        <v>-52060.179406538882</v>
      </c>
      <c r="H114" s="270">
        <v>480822.40346669772</v>
      </c>
      <c r="I114" s="270">
        <v>494430.84011127299</v>
      </c>
      <c r="J114" s="270">
        <v>975253.24357797066</v>
      </c>
      <c r="K114" s="270">
        <v>489036.86249999999</v>
      </c>
      <c r="L114" s="282">
        <v>252839.40599999999</v>
      </c>
      <c r="M114" s="282">
        <v>0</v>
      </c>
      <c r="N114" s="268">
        <v>233376.97507797071</v>
      </c>
      <c r="P114" s="282"/>
      <c r="Q114" s="282"/>
      <c r="S114" s="270"/>
      <c r="U114" s="270"/>
      <c r="W114" s="270"/>
      <c r="Y114" s="270"/>
      <c r="AA114" s="270"/>
      <c r="AC114" s="270"/>
      <c r="AE114" s="270"/>
      <c r="AG114" s="270"/>
      <c r="AI114" s="270"/>
      <c r="AK114" s="270"/>
    </row>
    <row r="115" spans="1:37">
      <c r="A115" s="269">
        <v>60</v>
      </c>
      <c r="B115" s="273">
        <v>2065</v>
      </c>
      <c r="C115" s="270">
        <v>2847294.6248635198</v>
      </c>
      <c r="D115" s="270">
        <v>1224490.9160799996</v>
      </c>
      <c r="E115" s="270">
        <v>694204.56495000003</v>
      </c>
      <c r="F115" s="270">
        <v>499836.9197733613</v>
      </c>
      <c r="G115" s="270">
        <v>-52060.179406538882</v>
      </c>
      <c r="H115" s="270">
        <v>480822.40346669772</v>
      </c>
      <c r="I115" s="270">
        <v>494430.84011127299</v>
      </c>
      <c r="J115" s="270">
        <v>975253.24357797066</v>
      </c>
      <c r="K115" s="270">
        <v>489034.47</v>
      </c>
      <c r="L115" s="282">
        <v>252839.40599999999</v>
      </c>
      <c r="M115" s="282">
        <v>0</v>
      </c>
      <c r="N115" s="268">
        <v>233379.36757797073</v>
      </c>
      <c r="P115" s="282"/>
      <c r="Q115" s="282"/>
      <c r="S115" s="270"/>
      <c r="U115" s="270"/>
      <c r="W115" s="270"/>
      <c r="Y115" s="270"/>
      <c r="AA115" s="270"/>
      <c r="AC115" s="270"/>
      <c r="AE115" s="270"/>
      <c r="AG115" s="270"/>
      <c r="AI115" s="270"/>
      <c r="AK115" s="270"/>
    </row>
    <row r="116" spans="1:37">
      <c r="A116" s="269">
        <v>61</v>
      </c>
      <c r="B116" s="273">
        <v>2066</v>
      </c>
      <c r="C116" s="270">
        <v>2847294.6248635198</v>
      </c>
      <c r="D116" s="270">
        <v>1224490.9160799996</v>
      </c>
      <c r="E116" s="270">
        <v>694204.56495000003</v>
      </c>
      <c r="F116" s="270">
        <v>499836.9197733613</v>
      </c>
      <c r="G116" s="270">
        <v>-52060.179406538882</v>
      </c>
      <c r="H116" s="270">
        <v>480822.40346669772</v>
      </c>
      <c r="I116" s="270">
        <v>494430.84011127299</v>
      </c>
      <c r="J116" s="270">
        <v>975253.24357797066</v>
      </c>
      <c r="K116" s="270">
        <v>489035.07250000001</v>
      </c>
      <c r="L116" s="282">
        <v>252839.40599999999</v>
      </c>
      <c r="M116" s="282">
        <v>0</v>
      </c>
      <c r="N116" s="268">
        <v>233378.76507797069</v>
      </c>
      <c r="P116" s="282"/>
      <c r="Q116" s="282"/>
      <c r="S116" s="270"/>
      <c r="U116" s="270"/>
      <c r="W116" s="270"/>
      <c r="Y116" s="270"/>
      <c r="AA116" s="270"/>
      <c r="AC116" s="270"/>
      <c r="AE116" s="270"/>
      <c r="AG116" s="270"/>
      <c r="AI116" s="270"/>
      <c r="AK116" s="270"/>
    </row>
    <row r="117" spans="1:37">
      <c r="A117" s="269">
        <v>62</v>
      </c>
      <c r="B117" s="273">
        <v>2067</v>
      </c>
      <c r="C117" s="270">
        <v>2847294.6248635198</v>
      </c>
      <c r="D117" s="270">
        <v>1224490.9160799996</v>
      </c>
      <c r="E117" s="270">
        <v>694204.56495000003</v>
      </c>
      <c r="F117" s="270">
        <v>499836.9197733613</v>
      </c>
      <c r="G117" s="270">
        <v>-52060.179406538882</v>
      </c>
      <c r="H117" s="270">
        <v>480822.40346669772</v>
      </c>
      <c r="I117" s="270">
        <v>494430.84011127299</v>
      </c>
      <c r="J117" s="270">
        <v>975253.24357797066</v>
      </c>
      <c r="K117" s="270">
        <v>489036.73</v>
      </c>
      <c r="L117" s="282">
        <v>252839.40599999999</v>
      </c>
      <c r="M117" s="282">
        <v>0</v>
      </c>
      <c r="N117" s="268">
        <v>233377.10757797072</v>
      </c>
      <c r="P117" s="282"/>
      <c r="Q117" s="282"/>
      <c r="S117" s="270"/>
      <c r="U117" s="270"/>
      <c r="W117" s="270"/>
      <c r="Y117" s="270"/>
      <c r="AA117" s="270"/>
      <c r="AC117" s="270"/>
      <c r="AE117" s="270"/>
      <c r="AG117" s="270"/>
      <c r="AI117" s="270"/>
      <c r="AK117" s="270"/>
    </row>
    <row r="118" spans="1:37">
      <c r="A118" s="269">
        <v>63</v>
      </c>
      <c r="B118" s="273">
        <v>2068</v>
      </c>
      <c r="C118" s="270">
        <v>2847294.6248635198</v>
      </c>
      <c r="D118" s="270">
        <v>1224490.9160799996</v>
      </c>
      <c r="E118" s="270">
        <v>694204.56495000003</v>
      </c>
      <c r="F118" s="270">
        <v>499836.9197733613</v>
      </c>
      <c r="G118" s="270">
        <v>-52060.179406538882</v>
      </c>
      <c r="H118" s="270">
        <v>480822.40346669772</v>
      </c>
      <c r="I118" s="270">
        <v>494430.84011127299</v>
      </c>
      <c r="J118" s="270">
        <v>975253.24357797066</v>
      </c>
      <c r="K118" s="270">
        <v>489034.07750000001</v>
      </c>
      <c r="L118" s="282">
        <v>252839.40599999999</v>
      </c>
      <c r="M118" s="282">
        <v>0</v>
      </c>
      <c r="N118" s="268">
        <v>233379.76007797068</v>
      </c>
      <c r="P118" s="282"/>
      <c r="Q118" s="282"/>
      <c r="S118" s="270"/>
      <c r="U118" s="270"/>
      <c r="W118" s="270"/>
      <c r="Y118" s="270"/>
      <c r="AA118" s="270"/>
      <c r="AC118" s="270"/>
      <c r="AE118" s="270"/>
      <c r="AG118" s="270"/>
      <c r="AI118" s="270"/>
      <c r="AK118" s="270"/>
    </row>
    <row r="119" spans="1:37">
      <c r="A119" s="269">
        <v>64</v>
      </c>
      <c r="B119" s="273">
        <v>2069</v>
      </c>
      <c r="C119" s="270">
        <v>2847294.6248635198</v>
      </c>
      <c r="D119" s="270">
        <v>1224490.9160799996</v>
      </c>
      <c r="E119" s="270">
        <v>694204.56495000003</v>
      </c>
      <c r="F119" s="270">
        <v>499836.9197733613</v>
      </c>
      <c r="G119" s="270">
        <v>-52060.179406538882</v>
      </c>
      <c r="H119" s="270">
        <v>480822.40346669772</v>
      </c>
      <c r="I119" s="270">
        <v>494430.84011127299</v>
      </c>
      <c r="J119" s="270">
        <v>975253.24357797066</v>
      </c>
      <c r="K119" s="270">
        <v>489034.64750000002</v>
      </c>
      <c r="L119" s="282">
        <v>252839.40599999999</v>
      </c>
      <c r="M119" s="282">
        <v>0</v>
      </c>
      <c r="N119" s="268">
        <v>233379.19007797068</v>
      </c>
      <c r="P119" s="282"/>
      <c r="Q119" s="282"/>
      <c r="S119" s="270"/>
      <c r="U119" s="270"/>
      <c r="W119" s="270"/>
      <c r="Y119" s="270"/>
      <c r="AA119" s="270"/>
      <c r="AC119" s="270"/>
      <c r="AE119" s="270"/>
      <c r="AG119" s="270"/>
      <c r="AI119" s="270"/>
      <c r="AK119" s="270"/>
    </row>
    <row r="120" spans="1:37">
      <c r="A120" s="269">
        <v>65</v>
      </c>
      <c r="B120" s="273">
        <v>2070</v>
      </c>
      <c r="C120" s="270">
        <v>2847294.6248635198</v>
      </c>
      <c r="D120" s="270">
        <v>1224490.9160799996</v>
      </c>
      <c r="E120" s="270">
        <v>694204.56495000003</v>
      </c>
      <c r="F120" s="270">
        <v>499836.9197733613</v>
      </c>
      <c r="G120" s="270">
        <v>-52060.179406538882</v>
      </c>
      <c r="H120" s="270">
        <v>480822.40346669772</v>
      </c>
      <c r="I120" s="270">
        <v>494430.84011127299</v>
      </c>
      <c r="J120" s="270">
        <v>975253.24357797066</v>
      </c>
      <c r="K120" s="270">
        <v>489034.25</v>
      </c>
      <c r="L120" s="282">
        <v>252839.40599999999</v>
      </c>
      <c r="M120" s="282">
        <v>0</v>
      </c>
      <c r="N120" s="268">
        <v>233379.5875779707</v>
      </c>
      <c r="P120" s="282"/>
      <c r="Q120" s="282"/>
      <c r="S120" s="270"/>
      <c r="U120" s="270"/>
      <c r="W120" s="270"/>
      <c r="Y120" s="270"/>
      <c r="AA120" s="270"/>
      <c r="AC120" s="270"/>
      <c r="AE120" s="270"/>
      <c r="AG120" s="270"/>
      <c r="AI120" s="270"/>
      <c r="AK120" s="270"/>
    </row>
    <row r="121" spans="1:37">
      <c r="A121" s="269">
        <v>66</v>
      </c>
      <c r="B121" s="273">
        <v>2071</v>
      </c>
      <c r="C121" s="270">
        <v>2847294.6248635198</v>
      </c>
      <c r="D121" s="270">
        <v>1224490.9160799996</v>
      </c>
      <c r="E121" s="270">
        <v>694204.56495000003</v>
      </c>
      <c r="F121" s="270">
        <v>499836.9197733613</v>
      </c>
      <c r="G121" s="270">
        <v>-52060.179406538882</v>
      </c>
      <c r="H121" s="270">
        <v>480822.40346669772</v>
      </c>
      <c r="I121" s="270">
        <v>494430.84011127299</v>
      </c>
      <c r="J121" s="270">
        <v>975253.24357797066</v>
      </c>
      <c r="K121" s="270">
        <v>489034.98</v>
      </c>
      <c r="L121" s="282">
        <v>252839.40599999999</v>
      </c>
      <c r="M121" s="282">
        <v>0</v>
      </c>
      <c r="N121" s="268">
        <v>233378.85757797072</v>
      </c>
      <c r="P121" s="282"/>
      <c r="Q121" s="282"/>
      <c r="S121" s="270"/>
      <c r="U121" s="270"/>
      <c r="W121" s="270"/>
      <c r="Y121" s="270"/>
      <c r="AA121" s="270"/>
      <c r="AC121" s="270"/>
      <c r="AE121" s="270"/>
      <c r="AG121" s="270"/>
      <c r="AI121" s="270"/>
      <c r="AK121" s="270"/>
    </row>
    <row r="122" spans="1:37">
      <c r="A122" s="269">
        <v>67</v>
      </c>
      <c r="B122" s="273">
        <v>2072</v>
      </c>
      <c r="C122" s="270">
        <v>2847294.6248635198</v>
      </c>
      <c r="D122" s="270">
        <v>1224490.9160799996</v>
      </c>
      <c r="E122" s="270">
        <v>694204.56495000003</v>
      </c>
      <c r="F122" s="270">
        <v>499836.9197733613</v>
      </c>
      <c r="G122" s="270">
        <v>-52060.179406538882</v>
      </c>
      <c r="H122" s="270">
        <v>480822.40346669772</v>
      </c>
      <c r="I122" s="270">
        <v>494430.84011127299</v>
      </c>
      <c r="J122" s="270">
        <v>975253.24357797066</v>
      </c>
      <c r="K122" s="270">
        <v>489037.21</v>
      </c>
      <c r="L122" s="282">
        <v>252839.40599999999</v>
      </c>
      <c r="M122" s="282">
        <v>0</v>
      </c>
      <c r="N122" s="268">
        <v>233376.62757797068</v>
      </c>
      <c r="P122" s="282"/>
      <c r="Q122" s="282"/>
      <c r="S122" s="270"/>
      <c r="U122" s="270"/>
      <c r="W122" s="270"/>
      <c r="Y122" s="270"/>
      <c r="AA122" s="270"/>
      <c r="AC122" s="270"/>
      <c r="AE122" s="270"/>
      <c r="AG122" s="270"/>
      <c r="AI122" s="270"/>
      <c r="AK122" s="270"/>
    </row>
    <row r="123" spans="1:37">
      <c r="A123" s="269">
        <v>68</v>
      </c>
      <c r="B123" s="273">
        <v>2073</v>
      </c>
      <c r="C123" s="270">
        <v>2847294.6248635198</v>
      </c>
      <c r="D123" s="270">
        <v>1224490.9160799996</v>
      </c>
      <c r="E123" s="270">
        <v>694204.56495000003</v>
      </c>
      <c r="F123" s="270">
        <v>499836.9197733613</v>
      </c>
      <c r="G123" s="270">
        <v>-52060.179406538882</v>
      </c>
      <c r="H123" s="270">
        <v>480822.40346669772</v>
      </c>
      <c r="I123" s="270">
        <v>494430.84011127299</v>
      </c>
      <c r="J123" s="270">
        <v>975253.24357797066</v>
      </c>
      <c r="K123" s="270">
        <v>489035.76750000002</v>
      </c>
      <c r="L123" s="282">
        <v>252839.40599999999</v>
      </c>
      <c r="M123" s="282">
        <v>0</v>
      </c>
      <c r="N123" s="268">
        <v>233378.07007797068</v>
      </c>
      <c r="P123" s="282"/>
      <c r="Q123" s="282"/>
      <c r="S123" s="270"/>
      <c r="U123" s="270"/>
      <c r="W123" s="270"/>
      <c r="Y123" s="270"/>
      <c r="AA123" s="270"/>
      <c r="AC123" s="270"/>
      <c r="AE123" s="270"/>
      <c r="AG123" s="270"/>
      <c r="AI123" s="270"/>
      <c r="AK123" s="270"/>
    </row>
    <row r="124" spans="1:37">
      <c r="A124" s="269">
        <v>69</v>
      </c>
      <c r="B124" s="273"/>
      <c r="C124" s="270"/>
      <c r="D124" s="270"/>
      <c r="E124" s="270"/>
      <c r="F124" s="270"/>
      <c r="G124" s="270"/>
      <c r="H124" s="270"/>
      <c r="I124" s="270"/>
      <c r="J124" s="270"/>
      <c r="K124" s="270"/>
      <c r="L124" s="282"/>
      <c r="M124" s="282"/>
      <c r="N124" s="268"/>
      <c r="P124" s="282"/>
      <c r="Q124" s="282"/>
      <c r="S124" s="270"/>
      <c r="U124" s="270"/>
      <c r="W124" s="270"/>
      <c r="Y124" s="270"/>
      <c r="AA124" s="270"/>
      <c r="AC124" s="270"/>
      <c r="AE124" s="270"/>
      <c r="AG124" s="270"/>
      <c r="AI124" s="270"/>
      <c r="AK124" s="270"/>
    </row>
    <row r="125" spans="1:37">
      <c r="A125" s="269">
        <v>70</v>
      </c>
      <c r="B125" s="267" t="s">
        <v>333</v>
      </c>
      <c r="S125" s="270"/>
      <c r="U125" s="270"/>
      <c r="W125" s="270"/>
    </row>
    <row r="126" spans="1:37">
      <c r="A126" s="269">
        <v>71</v>
      </c>
      <c r="B126" s="261" t="s">
        <v>547</v>
      </c>
      <c r="C126" s="270">
        <v>338625151.95130134</v>
      </c>
      <c r="D126" s="270">
        <v>109580087.1535999</v>
      </c>
      <c r="E126" s="270">
        <v>146792738.72088993</v>
      </c>
      <c r="F126" s="270">
        <v>39524127.5420935</v>
      </c>
      <c r="G126" s="270">
        <v>16676457.257525802</v>
      </c>
      <c r="H126" s="270">
        <v>26051741.27719276</v>
      </c>
      <c r="I126" s="270">
        <v>37392990.365164325</v>
      </c>
      <c r="J126" s="270">
        <v>64162941.635520935</v>
      </c>
      <c r="K126" s="270">
        <v>19545532.815000001</v>
      </c>
      <c r="L126" s="270">
        <v>31193334.121999986</v>
      </c>
      <c r="M126" s="270">
        <v>849641.39000000013</v>
      </c>
      <c r="N126" s="268">
        <v>12574433.19197089</v>
      </c>
      <c r="P126" s="268"/>
      <c r="Q126" s="268"/>
      <c r="S126" s="270"/>
      <c r="U126" s="270"/>
      <c r="W126" s="270"/>
      <c r="Y126" s="270"/>
      <c r="AA126" s="270"/>
      <c r="AC126" s="270"/>
      <c r="AE126" s="270"/>
      <c r="AG126" s="270"/>
      <c r="AI126" s="270"/>
      <c r="AK126" s="270"/>
    </row>
    <row r="127" spans="1:37">
      <c r="A127" s="245"/>
      <c r="M127" s="268"/>
      <c r="O127" s="245"/>
      <c r="P127" s="245"/>
      <c r="Q127" s="245"/>
    </row>
    <row r="128" spans="1:37" ht="37.5" customHeight="1">
      <c r="A128" s="290" t="s">
        <v>232</v>
      </c>
      <c r="B128" s="392" t="s">
        <v>769</v>
      </c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O128" s="245"/>
      <c r="P128" s="245"/>
      <c r="Q128" s="245"/>
    </row>
    <row r="129" spans="1:17" ht="23.25" customHeight="1">
      <c r="A129" s="290" t="s">
        <v>352</v>
      </c>
      <c r="B129" s="392" t="s">
        <v>713</v>
      </c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/>
      <c r="O129" s="245"/>
      <c r="P129" s="245"/>
      <c r="Q129" s="245"/>
    </row>
    <row r="130" spans="1:17">
      <c r="A130" s="245"/>
      <c r="B130" s="291"/>
      <c r="O130" s="245"/>
      <c r="P130" s="245"/>
      <c r="Q130" s="245"/>
    </row>
    <row r="131" spans="1:17">
      <c r="B131" s="291"/>
    </row>
    <row r="132" spans="1:17">
      <c r="A132" s="245"/>
      <c r="B132" s="291"/>
      <c r="O132" s="245"/>
      <c r="P132" s="245"/>
      <c r="Q132" s="245"/>
    </row>
    <row r="133" spans="1:17">
      <c r="B133" s="291"/>
    </row>
    <row r="138" spans="1:17">
      <c r="A138" s="245"/>
      <c r="B138" s="254"/>
      <c r="O138" s="245"/>
      <c r="P138" s="245"/>
      <c r="Q138" s="245"/>
    </row>
    <row r="139" spans="1:17">
      <c r="A139" s="245"/>
      <c r="B139" s="291"/>
      <c r="O139" s="245"/>
      <c r="P139" s="245"/>
      <c r="Q139" s="245"/>
    </row>
    <row r="140" spans="1:17">
      <c r="A140" s="245"/>
      <c r="B140" s="291"/>
      <c r="O140" s="245"/>
      <c r="P140" s="245"/>
      <c r="Q140" s="245"/>
    </row>
  </sheetData>
  <mergeCells count="2">
    <mergeCell ref="B129:N129"/>
    <mergeCell ref="B128:N1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39997558519241921"/>
  </sheetPr>
  <dimension ref="A1:P154"/>
  <sheetViews>
    <sheetView topLeftCell="A79" workbookViewId="0">
      <selection activeCell="A60" sqref="A60:F95"/>
    </sheetView>
  </sheetViews>
  <sheetFormatPr defaultRowHeight="12.75"/>
  <cols>
    <col min="1" max="1" width="3.7109375" style="241" customWidth="1"/>
    <col min="2" max="2" width="4.42578125" style="241" customWidth="1"/>
    <col min="3" max="3" width="4.28515625" style="241" customWidth="1"/>
    <col min="4" max="4" width="58.7109375" style="241" customWidth="1"/>
    <col min="5" max="5" width="11.28515625" style="241" customWidth="1"/>
    <col min="6" max="6" width="11" style="246" customWidth="1"/>
    <col min="7" max="7" width="10.42578125" style="241" customWidth="1"/>
    <col min="8" max="9" width="9.140625" style="253"/>
    <col min="10" max="13" width="9.140625" style="241"/>
    <col min="14" max="14" width="17.42578125" style="241" customWidth="1"/>
    <col min="15" max="242" width="9.140625" style="241"/>
    <col min="243" max="243" width="3.7109375" style="241" customWidth="1"/>
    <col min="244" max="244" width="4.42578125" style="241" customWidth="1"/>
    <col min="245" max="245" width="4.28515625" style="241" customWidth="1"/>
    <col min="246" max="246" width="58.7109375" style="241" customWidth="1"/>
    <col min="247" max="247" width="11.28515625" style="241" customWidth="1"/>
    <col min="248" max="248" width="10" style="241" customWidth="1"/>
    <col min="249" max="249" width="10.42578125" style="241" customWidth="1"/>
    <col min="250" max="250" width="9.7109375" style="241" bestFit="1" customWidth="1"/>
    <col min="251" max="251" width="9.5703125" style="241" customWidth="1"/>
    <col min="252" max="252" width="9.140625" style="241"/>
    <col min="253" max="256" width="9.7109375" style="241" bestFit="1" customWidth="1"/>
    <col min="257" max="498" width="9.140625" style="241"/>
    <col min="499" max="499" width="3.7109375" style="241" customWidth="1"/>
    <col min="500" max="500" width="4.42578125" style="241" customWidth="1"/>
    <col min="501" max="501" width="4.28515625" style="241" customWidth="1"/>
    <col min="502" max="502" width="58.7109375" style="241" customWidth="1"/>
    <col min="503" max="503" width="11.28515625" style="241" customWidth="1"/>
    <col min="504" max="504" width="10" style="241" customWidth="1"/>
    <col min="505" max="505" width="10.42578125" style="241" customWidth="1"/>
    <col min="506" max="506" width="9.7109375" style="241" bestFit="1" customWidth="1"/>
    <col min="507" max="507" width="9.5703125" style="241" customWidth="1"/>
    <col min="508" max="508" width="9.140625" style="241"/>
    <col min="509" max="512" width="9.7109375" style="241" bestFit="1" customWidth="1"/>
    <col min="513" max="754" width="9.140625" style="241"/>
    <col min="755" max="755" width="3.7109375" style="241" customWidth="1"/>
    <col min="756" max="756" width="4.42578125" style="241" customWidth="1"/>
    <col min="757" max="757" width="4.28515625" style="241" customWidth="1"/>
    <col min="758" max="758" width="58.7109375" style="241" customWidth="1"/>
    <col min="759" max="759" width="11.28515625" style="241" customWidth="1"/>
    <col min="760" max="760" width="10" style="241" customWidth="1"/>
    <col min="761" max="761" width="10.42578125" style="241" customWidth="1"/>
    <col min="762" max="762" width="9.7109375" style="241" bestFit="1" customWidth="1"/>
    <col min="763" max="763" width="9.5703125" style="241" customWidth="1"/>
    <col min="764" max="764" width="9.140625" style="241"/>
    <col min="765" max="768" width="9.7109375" style="241" bestFit="1" customWidth="1"/>
    <col min="769" max="1010" width="9.140625" style="241"/>
    <col min="1011" max="1011" width="3.7109375" style="241" customWidth="1"/>
    <col min="1012" max="1012" width="4.42578125" style="241" customWidth="1"/>
    <col min="1013" max="1013" width="4.28515625" style="241" customWidth="1"/>
    <col min="1014" max="1014" width="58.7109375" style="241" customWidth="1"/>
    <col min="1015" max="1015" width="11.28515625" style="241" customWidth="1"/>
    <col min="1016" max="1016" width="10" style="241" customWidth="1"/>
    <col min="1017" max="1017" width="10.42578125" style="241" customWidth="1"/>
    <col min="1018" max="1018" width="9.7109375" style="241" bestFit="1" customWidth="1"/>
    <col min="1019" max="1019" width="9.5703125" style="241" customWidth="1"/>
    <col min="1020" max="1020" width="9.140625" style="241"/>
    <col min="1021" max="1024" width="9.7109375" style="241" bestFit="1" customWidth="1"/>
    <col min="1025" max="1266" width="9.140625" style="241"/>
    <col min="1267" max="1267" width="3.7109375" style="241" customWidth="1"/>
    <col min="1268" max="1268" width="4.42578125" style="241" customWidth="1"/>
    <col min="1269" max="1269" width="4.28515625" style="241" customWidth="1"/>
    <col min="1270" max="1270" width="58.7109375" style="241" customWidth="1"/>
    <col min="1271" max="1271" width="11.28515625" style="241" customWidth="1"/>
    <col min="1272" max="1272" width="10" style="241" customWidth="1"/>
    <col min="1273" max="1273" width="10.42578125" style="241" customWidth="1"/>
    <col min="1274" max="1274" width="9.7109375" style="241" bestFit="1" customWidth="1"/>
    <col min="1275" max="1275" width="9.5703125" style="241" customWidth="1"/>
    <col min="1276" max="1276" width="9.140625" style="241"/>
    <col min="1277" max="1280" width="9.7109375" style="241" bestFit="1" customWidth="1"/>
    <col min="1281" max="1522" width="9.140625" style="241"/>
    <col min="1523" max="1523" width="3.7109375" style="241" customWidth="1"/>
    <col min="1524" max="1524" width="4.42578125" style="241" customWidth="1"/>
    <col min="1525" max="1525" width="4.28515625" style="241" customWidth="1"/>
    <col min="1526" max="1526" width="58.7109375" style="241" customWidth="1"/>
    <col min="1527" max="1527" width="11.28515625" style="241" customWidth="1"/>
    <col min="1528" max="1528" width="10" style="241" customWidth="1"/>
    <col min="1529" max="1529" width="10.42578125" style="241" customWidth="1"/>
    <col min="1530" max="1530" width="9.7109375" style="241" bestFit="1" customWidth="1"/>
    <col min="1531" max="1531" width="9.5703125" style="241" customWidth="1"/>
    <col min="1532" max="1532" width="9.140625" style="241"/>
    <col min="1533" max="1536" width="9.7109375" style="241" bestFit="1" customWidth="1"/>
    <col min="1537" max="1778" width="9.140625" style="241"/>
    <col min="1779" max="1779" width="3.7109375" style="241" customWidth="1"/>
    <col min="1780" max="1780" width="4.42578125" style="241" customWidth="1"/>
    <col min="1781" max="1781" width="4.28515625" style="241" customWidth="1"/>
    <col min="1782" max="1782" width="58.7109375" style="241" customWidth="1"/>
    <col min="1783" max="1783" width="11.28515625" style="241" customWidth="1"/>
    <col min="1784" max="1784" width="10" style="241" customWidth="1"/>
    <col min="1785" max="1785" width="10.42578125" style="241" customWidth="1"/>
    <col min="1786" max="1786" width="9.7109375" style="241" bestFit="1" customWidth="1"/>
    <col min="1787" max="1787" width="9.5703125" style="241" customWidth="1"/>
    <col min="1788" max="1788" width="9.140625" style="241"/>
    <col min="1789" max="1792" width="9.7109375" style="241" bestFit="1" customWidth="1"/>
    <col min="1793" max="2034" width="9.140625" style="241"/>
    <col min="2035" max="2035" width="3.7109375" style="241" customWidth="1"/>
    <col min="2036" max="2036" width="4.42578125" style="241" customWidth="1"/>
    <col min="2037" max="2037" width="4.28515625" style="241" customWidth="1"/>
    <col min="2038" max="2038" width="58.7109375" style="241" customWidth="1"/>
    <col min="2039" max="2039" width="11.28515625" style="241" customWidth="1"/>
    <col min="2040" max="2040" width="10" style="241" customWidth="1"/>
    <col min="2041" max="2041" width="10.42578125" style="241" customWidth="1"/>
    <col min="2042" max="2042" width="9.7109375" style="241" bestFit="1" customWidth="1"/>
    <col min="2043" max="2043" width="9.5703125" style="241" customWidth="1"/>
    <col min="2044" max="2044" width="9.140625" style="241"/>
    <col min="2045" max="2048" width="9.7109375" style="241" bestFit="1" customWidth="1"/>
    <col min="2049" max="2290" width="9.140625" style="241"/>
    <col min="2291" max="2291" width="3.7109375" style="241" customWidth="1"/>
    <col min="2292" max="2292" width="4.42578125" style="241" customWidth="1"/>
    <col min="2293" max="2293" width="4.28515625" style="241" customWidth="1"/>
    <col min="2294" max="2294" width="58.7109375" style="241" customWidth="1"/>
    <col min="2295" max="2295" width="11.28515625" style="241" customWidth="1"/>
    <col min="2296" max="2296" width="10" style="241" customWidth="1"/>
    <col min="2297" max="2297" width="10.42578125" style="241" customWidth="1"/>
    <col min="2298" max="2298" width="9.7109375" style="241" bestFit="1" customWidth="1"/>
    <col min="2299" max="2299" width="9.5703125" style="241" customWidth="1"/>
    <col min="2300" max="2300" width="9.140625" style="241"/>
    <col min="2301" max="2304" width="9.7109375" style="241" bestFit="1" customWidth="1"/>
    <col min="2305" max="2546" width="9.140625" style="241"/>
    <col min="2547" max="2547" width="3.7109375" style="241" customWidth="1"/>
    <col min="2548" max="2548" width="4.42578125" style="241" customWidth="1"/>
    <col min="2549" max="2549" width="4.28515625" style="241" customWidth="1"/>
    <col min="2550" max="2550" width="58.7109375" style="241" customWidth="1"/>
    <col min="2551" max="2551" width="11.28515625" style="241" customWidth="1"/>
    <col min="2552" max="2552" width="10" style="241" customWidth="1"/>
    <col min="2553" max="2553" width="10.42578125" style="241" customWidth="1"/>
    <col min="2554" max="2554" width="9.7109375" style="241" bestFit="1" customWidth="1"/>
    <col min="2555" max="2555" width="9.5703125" style="241" customWidth="1"/>
    <col min="2556" max="2556" width="9.140625" style="241"/>
    <col min="2557" max="2560" width="9.7109375" style="241" bestFit="1" customWidth="1"/>
    <col min="2561" max="2802" width="9.140625" style="241"/>
    <col min="2803" max="2803" width="3.7109375" style="241" customWidth="1"/>
    <col min="2804" max="2804" width="4.42578125" style="241" customWidth="1"/>
    <col min="2805" max="2805" width="4.28515625" style="241" customWidth="1"/>
    <col min="2806" max="2806" width="58.7109375" style="241" customWidth="1"/>
    <col min="2807" max="2807" width="11.28515625" style="241" customWidth="1"/>
    <col min="2808" max="2808" width="10" style="241" customWidth="1"/>
    <col min="2809" max="2809" width="10.42578125" style="241" customWidth="1"/>
    <col min="2810" max="2810" width="9.7109375" style="241" bestFit="1" customWidth="1"/>
    <col min="2811" max="2811" width="9.5703125" style="241" customWidth="1"/>
    <col min="2812" max="2812" width="9.140625" style="241"/>
    <col min="2813" max="2816" width="9.7109375" style="241" bestFit="1" customWidth="1"/>
    <col min="2817" max="3058" width="9.140625" style="241"/>
    <col min="3059" max="3059" width="3.7109375" style="241" customWidth="1"/>
    <col min="3060" max="3060" width="4.42578125" style="241" customWidth="1"/>
    <col min="3061" max="3061" width="4.28515625" style="241" customWidth="1"/>
    <col min="3062" max="3062" width="58.7109375" style="241" customWidth="1"/>
    <col min="3063" max="3063" width="11.28515625" style="241" customWidth="1"/>
    <col min="3064" max="3064" width="10" style="241" customWidth="1"/>
    <col min="3065" max="3065" width="10.42578125" style="241" customWidth="1"/>
    <col min="3066" max="3066" width="9.7109375" style="241" bestFit="1" customWidth="1"/>
    <col min="3067" max="3067" width="9.5703125" style="241" customWidth="1"/>
    <col min="3068" max="3068" width="9.140625" style="241"/>
    <col min="3069" max="3072" width="9.7109375" style="241" bestFit="1" customWidth="1"/>
    <col min="3073" max="3314" width="9.140625" style="241"/>
    <col min="3315" max="3315" width="3.7109375" style="241" customWidth="1"/>
    <col min="3316" max="3316" width="4.42578125" style="241" customWidth="1"/>
    <col min="3317" max="3317" width="4.28515625" style="241" customWidth="1"/>
    <col min="3318" max="3318" width="58.7109375" style="241" customWidth="1"/>
    <col min="3319" max="3319" width="11.28515625" style="241" customWidth="1"/>
    <col min="3320" max="3320" width="10" style="241" customWidth="1"/>
    <col min="3321" max="3321" width="10.42578125" style="241" customWidth="1"/>
    <col min="3322" max="3322" width="9.7109375" style="241" bestFit="1" customWidth="1"/>
    <col min="3323" max="3323" width="9.5703125" style="241" customWidth="1"/>
    <col min="3324" max="3324" width="9.140625" style="241"/>
    <col min="3325" max="3328" width="9.7109375" style="241" bestFit="1" customWidth="1"/>
    <col min="3329" max="3570" width="9.140625" style="241"/>
    <col min="3571" max="3571" width="3.7109375" style="241" customWidth="1"/>
    <col min="3572" max="3572" width="4.42578125" style="241" customWidth="1"/>
    <col min="3573" max="3573" width="4.28515625" style="241" customWidth="1"/>
    <col min="3574" max="3574" width="58.7109375" style="241" customWidth="1"/>
    <col min="3575" max="3575" width="11.28515625" style="241" customWidth="1"/>
    <col min="3576" max="3576" width="10" style="241" customWidth="1"/>
    <col min="3577" max="3577" width="10.42578125" style="241" customWidth="1"/>
    <col min="3578" max="3578" width="9.7109375" style="241" bestFit="1" customWidth="1"/>
    <col min="3579" max="3579" width="9.5703125" style="241" customWidth="1"/>
    <col min="3580" max="3580" width="9.140625" style="241"/>
    <col min="3581" max="3584" width="9.7109375" style="241" bestFit="1" customWidth="1"/>
    <col min="3585" max="3826" width="9.140625" style="241"/>
    <col min="3827" max="3827" width="3.7109375" style="241" customWidth="1"/>
    <col min="3828" max="3828" width="4.42578125" style="241" customWidth="1"/>
    <col min="3829" max="3829" width="4.28515625" style="241" customWidth="1"/>
    <col min="3830" max="3830" width="58.7109375" style="241" customWidth="1"/>
    <col min="3831" max="3831" width="11.28515625" style="241" customWidth="1"/>
    <col min="3832" max="3832" width="10" style="241" customWidth="1"/>
    <col min="3833" max="3833" width="10.42578125" style="241" customWidth="1"/>
    <col min="3834" max="3834" width="9.7109375" style="241" bestFit="1" customWidth="1"/>
    <col min="3835" max="3835" width="9.5703125" style="241" customWidth="1"/>
    <col min="3836" max="3836" width="9.140625" style="241"/>
    <col min="3837" max="3840" width="9.7109375" style="241" bestFit="1" customWidth="1"/>
    <col min="3841" max="4082" width="9.140625" style="241"/>
    <col min="4083" max="4083" width="3.7109375" style="241" customWidth="1"/>
    <col min="4084" max="4084" width="4.42578125" style="241" customWidth="1"/>
    <col min="4085" max="4085" width="4.28515625" style="241" customWidth="1"/>
    <col min="4086" max="4086" width="58.7109375" style="241" customWidth="1"/>
    <col min="4087" max="4087" width="11.28515625" style="241" customWidth="1"/>
    <col min="4088" max="4088" width="10" style="241" customWidth="1"/>
    <col min="4089" max="4089" width="10.42578125" style="241" customWidth="1"/>
    <col min="4090" max="4090" width="9.7109375" style="241" bestFit="1" customWidth="1"/>
    <col min="4091" max="4091" width="9.5703125" style="241" customWidth="1"/>
    <col min="4092" max="4092" width="9.140625" style="241"/>
    <col min="4093" max="4096" width="9.7109375" style="241" bestFit="1" customWidth="1"/>
    <col min="4097" max="4338" width="9.140625" style="241"/>
    <col min="4339" max="4339" width="3.7109375" style="241" customWidth="1"/>
    <col min="4340" max="4340" width="4.42578125" style="241" customWidth="1"/>
    <col min="4341" max="4341" width="4.28515625" style="241" customWidth="1"/>
    <col min="4342" max="4342" width="58.7109375" style="241" customWidth="1"/>
    <col min="4343" max="4343" width="11.28515625" style="241" customWidth="1"/>
    <col min="4344" max="4344" width="10" style="241" customWidth="1"/>
    <col min="4345" max="4345" width="10.42578125" style="241" customWidth="1"/>
    <col min="4346" max="4346" width="9.7109375" style="241" bestFit="1" customWidth="1"/>
    <col min="4347" max="4347" width="9.5703125" style="241" customWidth="1"/>
    <col min="4348" max="4348" width="9.140625" style="241"/>
    <col min="4349" max="4352" width="9.7109375" style="241" bestFit="1" customWidth="1"/>
    <col min="4353" max="4594" width="9.140625" style="241"/>
    <col min="4595" max="4595" width="3.7109375" style="241" customWidth="1"/>
    <col min="4596" max="4596" width="4.42578125" style="241" customWidth="1"/>
    <col min="4597" max="4597" width="4.28515625" style="241" customWidth="1"/>
    <col min="4598" max="4598" width="58.7109375" style="241" customWidth="1"/>
    <col min="4599" max="4599" width="11.28515625" style="241" customWidth="1"/>
    <col min="4600" max="4600" width="10" style="241" customWidth="1"/>
    <col min="4601" max="4601" width="10.42578125" style="241" customWidth="1"/>
    <col min="4602" max="4602" width="9.7109375" style="241" bestFit="1" customWidth="1"/>
    <col min="4603" max="4603" width="9.5703125" style="241" customWidth="1"/>
    <col min="4604" max="4604" width="9.140625" style="241"/>
    <col min="4605" max="4608" width="9.7109375" style="241" bestFit="1" customWidth="1"/>
    <col min="4609" max="4850" width="9.140625" style="241"/>
    <col min="4851" max="4851" width="3.7109375" style="241" customWidth="1"/>
    <col min="4852" max="4852" width="4.42578125" style="241" customWidth="1"/>
    <col min="4853" max="4853" width="4.28515625" style="241" customWidth="1"/>
    <col min="4854" max="4854" width="58.7109375" style="241" customWidth="1"/>
    <col min="4855" max="4855" width="11.28515625" style="241" customWidth="1"/>
    <col min="4856" max="4856" width="10" style="241" customWidth="1"/>
    <col min="4857" max="4857" width="10.42578125" style="241" customWidth="1"/>
    <col min="4858" max="4858" width="9.7109375" style="241" bestFit="1" customWidth="1"/>
    <col min="4859" max="4859" width="9.5703125" style="241" customWidth="1"/>
    <col min="4860" max="4860" width="9.140625" style="241"/>
    <col min="4861" max="4864" width="9.7109375" style="241" bestFit="1" customWidth="1"/>
    <col min="4865" max="5106" width="9.140625" style="241"/>
    <col min="5107" max="5107" width="3.7109375" style="241" customWidth="1"/>
    <col min="5108" max="5108" width="4.42578125" style="241" customWidth="1"/>
    <col min="5109" max="5109" width="4.28515625" style="241" customWidth="1"/>
    <col min="5110" max="5110" width="58.7109375" style="241" customWidth="1"/>
    <col min="5111" max="5111" width="11.28515625" style="241" customWidth="1"/>
    <col min="5112" max="5112" width="10" style="241" customWidth="1"/>
    <col min="5113" max="5113" width="10.42578125" style="241" customWidth="1"/>
    <col min="5114" max="5114" width="9.7109375" style="241" bestFit="1" customWidth="1"/>
    <col min="5115" max="5115" width="9.5703125" style="241" customWidth="1"/>
    <col min="5116" max="5116" width="9.140625" style="241"/>
    <col min="5117" max="5120" width="9.7109375" style="241" bestFit="1" customWidth="1"/>
    <col min="5121" max="5362" width="9.140625" style="241"/>
    <col min="5363" max="5363" width="3.7109375" style="241" customWidth="1"/>
    <col min="5364" max="5364" width="4.42578125" style="241" customWidth="1"/>
    <col min="5365" max="5365" width="4.28515625" style="241" customWidth="1"/>
    <col min="5366" max="5366" width="58.7109375" style="241" customWidth="1"/>
    <col min="5367" max="5367" width="11.28515625" style="241" customWidth="1"/>
    <col min="5368" max="5368" width="10" style="241" customWidth="1"/>
    <col min="5369" max="5369" width="10.42578125" style="241" customWidth="1"/>
    <col min="5370" max="5370" width="9.7109375" style="241" bestFit="1" customWidth="1"/>
    <col min="5371" max="5371" width="9.5703125" style="241" customWidth="1"/>
    <col min="5372" max="5372" width="9.140625" style="241"/>
    <col min="5373" max="5376" width="9.7109375" style="241" bestFit="1" customWidth="1"/>
    <col min="5377" max="5618" width="9.140625" style="241"/>
    <col min="5619" max="5619" width="3.7109375" style="241" customWidth="1"/>
    <col min="5620" max="5620" width="4.42578125" style="241" customWidth="1"/>
    <col min="5621" max="5621" width="4.28515625" style="241" customWidth="1"/>
    <col min="5622" max="5622" width="58.7109375" style="241" customWidth="1"/>
    <col min="5623" max="5623" width="11.28515625" style="241" customWidth="1"/>
    <col min="5624" max="5624" width="10" style="241" customWidth="1"/>
    <col min="5625" max="5625" width="10.42578125" style="241" customWidth="1"/>
    <col min="5626" max="5626" width="9.7109375" style="241" bestFit="1" customWidth="1"/>
    <col min="5627" max="5627" width="9.5703125" style="241" customWidth="1"/>
    <col min="5628" max="5628" width="9.140625" style="241"/>
    <col min="5629" max="5632" width="9.7109375" style="241" bestFit="1" customWidth="1"/>
    <col min="5633" max="5874" width="9.140625" style="241"/>
    <col min="5875" max="5875" width="3.7109375" style="241" customWidth="1"/>
    <col min="5876" max="5876" width="4.42578125" style="241" customWidth="1"/>
    <col min="5877" max="5877" width="4.28515625" style="241" customWidth="1"/>
    <col min="5878" max="5878" width="58.7109375" style="241" customWidth="1"/>
    <col min="5879" max="5879" width="11.28515625" style="241" customWidth="1"/>
    <col min="5880" max="5880" width="10" style="241" customWidth="1"/>
    <col min="5881" max="5881" width="10.42578125" style="241" customWidth="1"/>
    <col min="5882" max="5882" width="9.7109375" style="241" bestFit="1" customWidth="1"/>
    <col min="5883" max="5883" width="9.5703125" style="241" customWidth="1"/>
    <col min="5884" max="5884" width="9.140625" style="241"/>
    <col min="5885" max="5888" width="9.7109375" style="241" bestFit="1" customWidth="1"/>
    <col min="5889" max="6130" width="9.140625" style="241"/>
    <col min="6131" max="6131" width="3.7109375" style="241" customWidth="1"/>
    <col min="6132" max="6132" width="4.42578125" style="241" customWidth="1"/>
    <col min="6133" max="6133" width="4.28515625" style="241" customWidth="1"/>
    <col min="6134" max="6134" width="58.7109375" style="241" customWidth="1"/>
    <col min="6135" max="6135" width="11.28515625" style="241" customWidth="1"/>
    <col min="6136" max="6136" width="10" style="241" customWidth="1"/>
    <col min="6137" max="6137" width="10.42578125" style="241" customWidth="1"/>
    <col min="6138" max="6138" width="9.7109375" style="241" bestFit="1" customWidth="1"/>
    <col min="6139" max="6139" width="9.5703125" style="241" customWidth="1"/>
    <col min="6140" max="6140" width="9.140625" style="241"/>
    <col min="6141" max="6144" width="9.7109375" style="241" bestFit="1" customWidth="1"/>
    <col min="6145" max="6386" width="9.140625" style="241"/>
    <col min="6387" max="6387" width="3.7109375" style="241" customWidth="1"/>
    <col min="6388" max="6388" width="4.42578125" style="241" customWidth="1"/>
    <col min="6389" max="6389" width="4.28515625" style="241" customWidth="1"/>
    <col min="6390" max="6390" width="58.7109375" style="241" customWidth="1"/>
    <col min="6391" max="6391" width="11.28515625" style="241" customWidth="1"/>
    <col min="6392" max="6392" width="10" style="241" customWidth="1"/>
    <col min="6393" max="6393" width="10.42578125" style="241" customWidth="1"/>
    <col min="6394" max="6394" width="9.7109375" style="241" bestFit="1" customWidth="1"/>
    <col min="6395" max="6395" width="9.5703125" style="241" customWidth="1"/>
    <col min="6396" max="6396" width="9.140625" style="241"/>
    <col min="6397" max="6400" width="9.7109375" style="241" bestFit="1" customWidth="1"/>
    <col min="6401" max="6642" width="9.140625" style="241"/>
    <col min="6643" max="6643" width="3.7109375" style="241" customWidth="1"/>
    <col min="6644" max="6644" width="4.42578125" style="241" customWidth="1"/>
    <col min="6645" max="6645" width="4.28515625" style="241" customWidth="1"/>
    <col min="6646" max="6646" width="58.7109375" style="241" customWidth="1"/>
    <col min="6647" max="6647" width="11.28515625" style="241" customWidth="1"/>
    <col min="6648" max="6648" width="10" style="241" customWidth="1"/>
    <col min="6649" max="6649" width="10.42578125" style="241" customWidth="1"/>
    <col min="6650" max="6650" width="9.7109375" style="241" bestFit="1" customWidth="1"/>
    <col min="6651" max="6651" width="9.5703125" style="241" customWidth="1"/>
    <col min="6652" max="6652" width="9.140625" style="241"/>
    <col min="6653" max="6656" width="9.7109375" style="241" bestFit="1" customWidth="1"/>
    <col min="6657" max="6898" width="9.140625" style="241"/>
    <col min="6899" max="6899" width="3.7109375" style="241" customWidth="1"/>
    <col min="6900" max="6900" width="4.42578125" style="241" customWidth="1"/>
    <col min="6901" max="6901" width="4.28515625" style="241" customWidth="1"/>
    <col min="6902" max="6902" width="58.7109375" style="241" customWidth="1"/>
    <col min="6903" max="6903" width="11.28515625" style="241" customWidth="1"/>
    <col min="6904" max="6904" width="10" style="241" customWidth="1"/>
    <col min="6905" max="6905" width="10.42578125" style="241" customWidth="1"/>
    <col min="6906" max="6906" width="9.7109375" style="241" bestFit="1" customWidth="1"/>
    <col min="6907" max="6907" width="9.5703125" style="241" customWidth="1"/>
    <col min="6908" max="6908" width="9.140625" style="241"/>
    <col min="6909" max="6912" width="9.7109375" style="241" bestFit="1" customWidth="1"/>
    <col min="6913" max="7154" width="9.140625" style="241"/>
    <col min="7155" max="7155" width="3.7109375" style="241" customWidth="1"/>
    <col min="7156" max="7156" width="4.42578125" style="241" customWidth="1"/>
    <col min="7157" max="7157" width="4.28515625" style="241" customWidth="1"/>
    <col min="7158" max="7158" width="58.7109375" style="241" customWidth="1"/>
    <col min="7159" max="7159" width="11.28515625" style="241" customWidth="1"/>
    <col min="7160" max="7160" width="10" style="241" customWidth="1"/>
    <col min="7161" max="7161" width="10.42578125" style="241" customWidth="1"/>
    <col min="7162" max="7162" width="9.7109375" style="241" bestFit="1" customWidth="1"/>
    <col min="7163" max="7163" width="9.5703125" style="241" customWidth="1"/>
    <col min="7164" max="7164" width="9.140625" style="241"/>
    <col min="7165" max="7168" width="9.7109375" style="241" bestFit="1" customWidth="1"/>
    <col min="7169" max="7410" width="9.140625" style="241"/>
    <col min="7411" max="7411" width="3.7109375" style="241" customWidth="1"/>
    <col min="7412" max="7412" width="4.42578125" style="241" customWidth="1"/>
    <col min="7413" max="7413" width="4.28515625" style="241" customWidth="1"/>
    <col min="7414" max="7414" width="58.7109375" style="241" customWidth="1"/>
    <col min="7415" max="7415" width="11.28515625" style="241" customWidth="1"/>
    <col min="7416" max="7416" width="10" style="241" customWidth="1"/>
    <col min="7417" max="7417" width="10.42578125" style="241" customWidth="1"/>
    <col min="7418" max="7418" width="9.7109375" style="241" bestFit="1" customWidth="1"/>
    <col min="7419" max="7419" width="9.5703125" style="241" customWidth="1"/>
    <col min="7420" max="7420" width="9.140625" style="241"/>
    <col min="7421" max="7424" width="9.7109375" style="241" bestFit="1" customWidth="1"/>
    <col min="7425" max="7666" width="9.140625" style="241"/>
    <col min="7667" max="7667" width="3.7109375" style="241" customWidth="1"/>
    <col min="7668" max="7668" width="4.42578125" style="241" customWidth="1"/>
    <col min="7669" max="7669" width="4.28515625" style="241" customWidth="1"/>
    <col min="7670" max="7670" width="58.7109375" style="241" customWidth="1"/>
    <col min="7671" max="7671" width="11.28515625" style="241" customWidth="1"/>
    <col min="7672" max="7672" width="10" style="241" customWidth="1"/>
    <col min="7673" max="7673" width="10.42578125" style="241" customWidth="1"/>
    <col min="7674" max="7674" width="9.7109375" style="241" bestFit="1" customWidth="1"/>
    <col min="7675" max="7675" width="9.5703125" style="241" customWidth="1"/>
    <col min="7676" max="7676" width="9.140625" style="241"/>
    <col min="7677" max="7680" width="9.7109375" style="241" bestFit="1" customWidth="1"/>
    <col min="7681" max="7922" width="9.140625" style="241"/>
    <col min="7923" max="7923" width="3.7109375" style="241" customWidth="1"/>
    <col min="7924" max="7924" width="4.42578125" style="241" customWidth="1"/>
    <col min="7925" max="7925" width="4.28515625" style="241" customWidth="1"/>
    <col min="7926" max="7926" width="58.7109375" style="241" customWidth="1"/>
    <col min="7927" max="7927" width="11.28515625" style="241" customWidth="1"/>
    <col min="7928" max="7928" width="10" style="241" customWidth="1"/>
    <col min="7929" max="7929" width="10.42578125" style="241" customWidth="1"/>
    <col min="7930" max="7930" width="9.7109375" style="241" bestFit="1" customWidth="1"/>
    <col min="7931" max="7931" width="9.5703125" style="241" customWidth="1"/>
    <col min="7932" max="7932" width="9.140625" style="241"/>
    <col min="7933" max="7936" width="9.7109375" style="241" bestFit="1" customWidth="1"/>
    <col min="7937" max="8178" width="9.140625" style="241"/>
    <col min="8179" max="8179" width="3.7109375" style="241" customWidth="1"/>
    <col min="8180" max="8180" width="4.42578125" style="241" customWidth="1"/>
    <col min="8181" max="8181" width="4.28515625" style="241" customWidth="1"/>
    <col min="8182" max="8182" width="58.7109375" style="241" customWidth="1"/>
    <col min="8183" max="8183" width="11.28515625" style="241" customWidth="1"/>
    <col min="8184" max="8184" width="10" style="241" customWidth="1"/>
    <col min="8185" max="8185" width="10.42578125" style="241" customWidth="1"/>
    <col min="8186" max="8186" width="9.7109375" style="241" bestFit="1" customWidth="1"/>
    <col min="8187" max="8187" width="9.5703125" style="241" customWidth="1"/>
    <col min="8188" max="8188" width="9.140625" style="241"/>
    <col min="8189" max="8192" width="9.7109375" style="241" bestFit="1" customWidth="1"/>
    <col min="8193" max="8434" width="9.140625" style="241"/>
    <col min="8435" max="8435" width="3.7109375" style="241" customWidth="1"/>
    <col min="8436" max="8436" width="4.42578125" style="241" customWidth="1"/>
    <col min="8437" max="8437" width="4.28515625" style="241" customWidth="1"/>
    <col min="8438" max="8438" width="58.7109375" style="241" customWidth="1"/>
    <col min="8439" max="8439" width="11.28515625" style="241" customWidth="1"/>
    <col min="8440" max="8440" width="10" style="241" customWidth="1"/>
    <col min="8441" max="8441" width="10.42578125" style="241" customWidth="1"/>
    <col min="8442" max="8442" width="9.7109375" style="241" bestFit="1" customWidth="1"/>
    <col min="8443" max="8443" width="9.5703125" style="241" customWidth="1"/>
    <col min="8444" max="8444" width="9.140625" style="241"/>
    <col min="8445" max="8448" width="9.7109375" style="241" bestFit="1" customWidth="1"/>
    <col min="8449" max="8690" width="9.140625" style="241"/>
    <col min="8691" max="8691" width="3.7109375" style="241" customWidth="1"/>
    <col min="8692" max="8692" width="4.42578125" style="241" customWidth="1"/>
    <col min="8693" max="8693" width="4.28515625" style="241" customWidth="1"/>
    <col min="8694" max="8694" width="58.7109375" style="241" customWidth="1"/>
    <col min="8695" max="8695" width="11.28515625" style="241" customWidth="1"/>
    <col min="8696" max="8696" width="10" style="241" customWidth="1"/>
    <col min="8697" max="8697" width="10.42578125" style="241" customWidth="1"/>
    <col min="8698" max="8698" width="9.7109375" style="241" bestFit="1" customWidth="1"/>
    <col min="8699" max="8699" width="9.5703125" style="241" customWidth="1"/>
    <col min="8700" max="8700" width="9.140625" style="241"/>
    <col min="8701" max="8704" width="9.7109375" style="241" bestFit="1" customWidth="1"/>
    <col min="8705" max="8946" width="9.140625" style="241"/>
    <col min="8947" max="8947" width="3.7109375" style="241" customWidth="1"/>
    <col min="8948" max="8948" width="4.42578125" style="241" customWidth="1"/>
    <col min="8949" max="8949" width="4.28515625" style="241" customWidth="1"/>
    <col min="8950" max="8950" width="58.7109375" style="241" customWidth="1"/>
    <col min="8951" max="8951" width="11.28515625" style="241" customWidth="1"/>
    <col min="8952" max="8952" width="10" style="241" customWidth="1"/>
    <col min="8953" max="8953" width="10.42578125" style="241" customWidth="1"/>
    <col min="8954" max="8954" width="9.7109375" style="241" bestFit="1" customWidth="1"/>
    <col min="8955" max="8955" width="9.5703125" style="241" customWidth="1"/>
    <col min="8956" max="8956" width="9.140625" style="241"/>
    <col min="8957" max="8960" width="9.7109375" style="241" bestFit="1" customWidth="1"/>
    <col min="8961" max="9202" width="9.140625" style="241"/>
    <col min="9203" max="9203" width="3.7109375" style="241" customWidth="1"/>
    <col min="9204" max="9204" width="4.42578125" style="241" customWidth="1"/>
    <col min="9205" max="9205" width="4.28515625" style="241" customWidth="1"/>
    <col min="9206" max="9206" width="58.7109375" style="241" customWidth="1"/>
    <col min="9207" max="9207" width="11.28515625" style="241" customWidth="1"/>
    <col min="9208" max="9208" width="10" style="241" customWidth="1"/>
    <col min="9209" max="9209" width="10.42578125" style="241" customWidth="1"/>
    <col min="9210" max="9210" width="9.7109375" style="241" bestFit="1" customWidth="1"/>
    <col min="9211" max="9211" width="9.5703125" style="241" customWidth="1"/>
    <col min="9212" max="9212" width="9.140625" style="241"/>
    <col min="9213" max="9216" width="9.7109375" style="241" bestFit="1" customWidth="1"/>
    <col min="9217" max="9458" width="9.140625" style="241"/>
    <col min="9459" max="9459" width="3.7109375" style="241" customWidth="1"/>
    <col min="9460" max="9460" width="4.42578125" style="241" customWidth="1"/>
    <col min="9461" max="9461" width="4.28515625" style="241" customWidth="1"/>
    <col min="9462" max="9462" width="58.7109375" style="241" customWidth="1"/>
    <col min="9463" max="9463" width="11.28515625" style="241" customWidth="1"/>
    <col min="9464" max="9464" width="10" style="241" customWidth="1"/>
    <col min="9465" max="9465" width="10.42578125" style="241" customWidth="1"/>
    <col min="9466" max="9466" width="9.7109375" style="241" bestFit="1" customWidth="1"/>
    <col min="9467" max="9467" width="9.5703125" style="241" customWidth="1"/>
    <col min="9468" max="9468" width="9.140625" style="241"/>
    <col min="9469" max="9472" width="9.7109375" style="241" bestFit="1" customWidth="1"/>
    <col min="9473" max="9714" width="9.140625" style="241"/>
    <col min="9715" max="9715" width="3.7109375" style="241" customWidth="1"/>
    <col min="9716" max="9716" width="4.42578125" style="241" customWidth="1"/>
    <col min="9717" max="9717" width="4.28515625" style="241" customWidth="1"/>
    <col min="9718" max="9718" width="58.7109375" style="241" customWidth="1"/>
    <col min="9719" max="9719" width="11.28515625" style="241" customWidth="1"/>
    <col min="9720" max="9720" width="10" style="241" customWidth="1"/>
    <col min="9721" max="9721" width="10.42578125" style="241" customWidth="1"/>
    <col min="9722" max="9722" width="9.7109375" style="241" bestFit="1" customWidth="1"/>
    <col min="9723" max="9723" width="9.5703125" style="241" customWidth="1"/>
    <col min="9724" max="9724" width="9.140625" style="241"/>
    <col min="9725" max="9728" width="9.7109375" style="241" bestFit="1" customWidth="1"/>
    <col min="9729" max="9970" width="9.140625" style="241"/>
    <col min="9971" max="9971" width="3.7109375" style="241" customWidth="1"/>
    <col min="9972" max="9972" width="4.42578125" style="241" customWidth="1"/>
    <col min="9973" max="9973" width="4.28515625" style="241" customWidth="1"/>
    <col min="9974" max="9974" width="58.7109375" style="241" customWidth="1"/>
    <col min="9975" max="9975" width="11.28515625" style="241" customWidth="1"/>
    <col min="9976" max="9976" width="10" style="241" customWidth="1"/>
    <col min="9977" max="9977" width="10.42578125" style="241" customWidth="1"/>
    <col min="9978" max="9978" width="9.7109375" style="241" bestFit="1" customWidth="1"/>
    <col min="9979" max="9979" width="9.5703125" style="241" customWidth="1"/>
    <col min="9980" max="9980" width="9.140625" style="241"/>
    <col min="9981" max="9984" width="9.7109375" style="241" bestFit="1" customWidth="1"/>
    <col min="9985" max="10226" width="9.140625" style="241"/>
    <col min="10227" max="10227" width="3.7109375" style="241" customWidth="1"/>
    <col min="10228" max="10228" width="4.42578125" style="241" customWidth="1"/>
    <col min="10229" max="10229" width="4.28515625" style="241" customWidth="1"/>
    <col min="10230" max="10230" width="58.7109375" style="241" customWidth="1"/>
    <col min="10231" max="10231" width="11.28515625" style="241" customWidth="1"/>
    <col min="10232" max="10232" width="10" style="241" customWidth="1"/>
    <col min="10233" max="10233" width="10.42578125" style="241" customWidth="1"/>
    <col min="10234" max="10234" width="9.7109375" style="241" bestFit="1" customWidth="1"/>
    <col min="10235" max="10235" width="9.5703125" style="241" customWidth="1"/>
    <col min="10236" max="10236" width="9.140625" style="241"/>
    <col min="10237" max="10240" width="9.7109375" style="241" bestFit="1" customWidth="1"/>
    <col min="10241" max="10482" width="9.140625" style="241"/>
    <col min="10483" max="10483" width="3.7109375" style="241" customWidth="1"/>
    <col min="10484" max="10484" width="4.42578125" style="241" customWidth="1"/>
    <col min="10485" max="10485" width="4.28515625" style="241" customWidth="1"/>
    <col min="10486" max="10486" width="58.7109375" style="241" customWidth="1"/>
    <col min="10487" max="10487" width="11.28515625" style="241" customWidth="1"/>
    <col min="10488" max="10488" width="10" style="241" customWidth="1"/>
    <col min="10489" max="10489" width="10.42578125" style="241" customWidth="1"/>
    <col min="10490" max="10490" width="9.7109375" style="241" bestFit="1" customWidth="1"/>
    <col min="10491" max="10491" width="9.5703125" style="241" customWidth="1"/>
    <col min="10492" max="10492" width="9.140625" style="241"/>
    <col min="10493" max="10496" width="9.7109375" style="241" bestFit="1" customWidth="1"/>
    <col min="10497" max="10738" width="9.140625" style="241"/>
    <col min="10739" max="10739" width="3.7109375" style="241" customWidth="1"/>
    <col min="10740" max="10740" width="4.42578125" style="241" customWidth="1"/>
    <col min="10741" max="10741" width="4.28515625" style="241" customWidth="1"/>
    <col min="10742" max="10742" width="58.7109375" style="241" customWidth="1"/>
    <col min="10743" max="10743" width="11.28515625" style="241" customWidth="1"/>
    <col min="10744" max="10744" width="10" style="241" customWidth="1"/>
    <col min="10745" max="10745" width="10.42578125" style="241" customWidth="1"/>
    <col min="10746" max="10746" width="9.7109375" style="241" bestFit="1" customWidth="1"/>
    <col min="10747" max="10747" width="9.5703125" style="241" customWidth="1"/>
    <col min="10748" max="10748" width="9.140625" style="241"/>
    <col min="10749" max="10752" width="9.7109375" style="241" bestFit="1" customWidth="1"/>
    <col min="10753" max="10994" width="9.140625" style="241"/>
    <col min="10995" max="10995" width="3.7109375" style="241" customWidth="1"/>
    <col min="10996" max="10996" width="4.42578125" style="241" customWidth="1"/>
    <col min="10997" max="10997" width="4.28515625" style="241" customWidth="1"/>
    <col min="10998" max="10998" width="58.7109375" style="241" customWidth="1"/>
    <col min="10999" max="10999" width="11.28515625" style="241" customWidth="1"/>
    <col min="11000" max="11000" width="10" style="241" customWidth="1"/>
    <col min="11001" max="11001" width="10.42578125" style="241" customWidth="1"/>
    <col min="11002" max="11002" width="9.7109375" style="241" bestFit="1" customWidth="1"/>
    <col min="11003" max="11003" width="9.5703125" style="241" customWidth="1"/>
    <col min="11004" max="11004" width="9.140625" style="241"/>
    <col min="11005" max="11008" width="9.7109375" style="241" bestFit="1" customWidth="1"/>
    <col min="11009" max="11250" width="9.140625" style="241"/>
    <col min="11251" max="11251" width="3.7109375" style="241" customWidth="1"/>
    <col min="11252" max="11252" width="4.42578125" style="241" customWidth="1"/>
    <col min="11253" max="11253" width="4.28515625" style="241" customWidth="1"/>
    <col min="11254" max="11254" width="58.7109375" style="241" customWidth="1"/>
    <col min="11255" max="11255" width="11.28515625" style="241" customWidth="1"/>
    <col min="11256" max="11256" width="10" style="241" customWidth="1"/>
    <col min="11257" max="11257" width="10.42578125" style="241" customWidth="1"/>
    <col min="11258" max="11258" width="9.7109375" style="241" bestFit="1" customWidth="1"/>
    <col min="11259" max="11259" width="9.5703125" style="241" customWidth="1"/>
    <col min="11260" max="11260" width="9.140625" style="241"/>
    <col min="11261" max="11264" width="9.7109375" style="241" bestFit="1" customWidth="1"/>
    <col min="11265" max="11506" width="9.140625" style="241"/>
    <col min="11507" max="11507" width="3.7109375" style="241" customWidth="1"/>
    <col min="11508" max="11508" width="4.42578125" style="241" customWidth="1"/>
    <col min="11509" max="11509" width="4.28515625" style="241" customWidth="1"/>
    <col min="11510" max="11510" width="58.7109375" style="241" customWidth="1"/>
    <col min="11511" max="11511" width="11.28515625" style="241" customWidth="1"/>
    <col min="11512" max="11512" width="10" style="241" customWidth="1"/>
    <col min="11513" max="11513" width="10.42578125" style="241" customWidth="1"/>
    <col min="11514" max="11514" width="9.7109375" style="241" bestFit="1" customWidth="1"/>
    <col min="11515" max="11515" width="9.5703125" style="241" customWidth="1"/>
    <col min="11516" max="11516" width="9.140625" style="241"/>
    <col min="11517" max="11520" width="9.7109375" style="241" bestFit="1" customWidth="1"/>
    <col min="11521" max="11762" width="9.140625" style="241"/>
    <col min="11763" max="11763" width="3.7109375" style="241" customWidth="1"/>
    <col min="11764" max="11764" width="4.42578125" style="241" customWidth="1"/>
    <col min="11765" max="11765" width="4.28515625" style="241" customWidth="1"/>
    <col min="11766" max="11766" width="58.7109375" style="241" customWidth="1"/>
    <col min="11767" max="11767" width="11.28515625" style="241" customWidth="1"/>
    <col min="11768" max="11768" width="10" style="241" customWidth="1"/>
    <col min="11769" max="11769" width="10.42578125" style="241" customWidth="1"/>
    <col min="11770" max="11770" width="9.7109375" style="241" bestFit="1" customWidth="1"/>
    <col min="11771" max="11771" width="9.5703125" style="241" customWidth="1"/>
    <col min="11772" max="11772" width="9.140625" style="241"/>
    <col min="11773" max="11776" width="9.7109375" style="241" bestFit="1" customWidth="1"/>
    <col min="11777" max="12018" width="9.140625" style="241"/>
    <col min="12019" max="12019" width="3.7109375" style="241" customWidth="1"/>
    <col min="12020" max="12020" width="4.42578125" style="241" customWidth="1"/>
    <col min="12021" max="12021" width="4.28515625" style="241" customWidth="1"/>
    <col min="12022" max="12022" width="58.7109375" style="241" customWidth="1"/>
    <col min="12023" max="12023" width="11.28515625" style="241" customWidth="1"/>
    <col min="12024" max="12024" width="10" style="241" customWidth="1"/>
    <col min="12025" max="12025" width="10.42578125" style="241" customWidth="1"/>
    <col min="12026" max="12026" width="9.7109375" style="241" bestFit="1" customWidth="1"/>
    <col min="12027" max="12027" width="9.5703125" style="241" customWidth="1"/>
    <col min="12028" max="12028" width="9.140625" style="241"/>
    <col min="12029" max="12032" width="9.7109375" style="241" bestFit="1" customWidth="1"/>
    <col min="12033" max="12274" width="9.140625" style="241"/>
    <col min="12275" max="12275" width="3.7109375" style="241" customWidth="1"/>
    <col min="12276" max="12276" width="4.42578125" style="241" customWidth="1"/>
    <col min="12277" max="12277" width="4.28515625" style="241" customWidth="1"/>
    <col min="12278" max="12278" width="58.7109375" style="241" customWidth="1"/>
    <col min="12279" max="12279" width="11.28515625" style="241" customWidth="1"/>
    <col min="12280" max="12280" width="10" style="241" customWidth="1"/>
    <col min="12281" max="12281" width="10.42578125" style="241" customWidth="1"/>
    <col min="12282" max="12282" width="9.7109375" style="241" bestFit="1" customWidth="1"/>
    <col min="12283" max="12283" width="9.5703125" style="241" customWidth="1"/>
    <col min="12284" max="12284" width="9.140625" style="241"/>
    <col min="12285" max="12288" width="9.7109375" style="241" bestFit="1" customWidth="1"/>
    <col min="12289" max="12530" width="9.140625" style="241"/>
    <col min="12531" max="12531" width="3.7109375" style="241" customWidth="1"/>
    <col min="12532" max="12532" width="4.42578125" style="241" customWidth="1"/>
    <col min="12533" max="12533" width="4.28515625" style="241" customWidth="1"/>
    <col min="12534" max="12534" width="58.7109375" style="241" customWidth="1"/>
    <col min="12535" max="12535" width="11.28515625" style="241" customWidth="1"/>
    <col min="12536" max="12536" width="10" style="241" customWidth="1"/>
    <col min="12537" max="12537" width="10.42578125" style="241" customWidth="1"/>
    <col min="12538" max="12538" width="9.7109375" style="241" bestFit="1" customWidth="1"/>
    <col min="12539" max="12539" width="9.5703125" style="241" customWidth="1"/>
    <col min="12540" max="12540" width="9.140625" style="241"/>
    <col min="12541" max="12544" width="9.7109375" style="241" bestFit="1" customWidth="1"/>
    <col min="12545" max="12786" width="9.140625" style="241"/>
    <col min="12787" max="12787" width="3.7109375" style="241" customWidth="1"/>
    <col min="12788" max="12788" width="4.42578125" style="241" customWidth="1"/>
    <col min="12789" max="12789" width="4.28515625" style="241" customWidth="1"/>
    <col min="12790" max="12790" width="58.7109375" style="241" customWidth="1"/>
    <col min="12791" max="12791" width="11.28515625" style="241" customWidth="1"/>
    <col min="12792" max="12792" width="10" style="241" customWidth="1"/>
    <col min="12793" max="12793" width="10.42578125" style="241" customWidth="1"/>
    <col min="12794" max="12794" width="9.7109375" style="241" bestFit="1" customWidth="1"/>
    <col min="12795" max="12795" width="9.5703125" style="241" customWidth="1"/>
    <col min="12796" max="12796" width="9.140625" style="241"/>
    <col min="12797" max="12800" width="9.7109375" style="241" bestFit="1" customWidth="1"/>
    <col min="12801" max="13042" width="9.140625" style="241"/>
    <col min="13043" max="13043" width="3.7109375" style="241" customWidth="1"/>
    <col min="13044" max="13044" width="4.42578125" style="241" customWidth="1"/>
    <col min="13045" max="13045" width="4.28515625" style="241" customWidth="1"/>
    <col min="13046" max="13046" width="58.7109375" style="241" customWidth="1"/>
    <col min="13047" max="13047" width="11.28515625" style="241" customWidth="1"/>
    <col min="13048" max="13048" width="10" style="241" customWidth="1"/>
    <col min="13049" max="13049" width="10.42578125" style="241" customWidth="1"/>
    <col min="13050" max="13050" width="9.7109375" style="241" bestFit="1" customWidth="1"/>
    <col min="13051" max="13051" width="9.5703125" style="241" customWidth="1"/>
    <col min="13052" max="13052" width="9.140625" style="241"/>
    <col min="13053" max="13056" width="9.7109375" style="241" bestFit="1" customWidth="1"/>
    <col min="13057" max="13298" width="9.140625" style="241"/>
    <col min="13299" max="13299" width="3.7109375" style="241" customWidth="1"/>
    <col min="13300" max="13300" width="4.42578125" style="241" customWidth="1"/>
    <col min="13301" max="13301" width="4.28515625" style="241" customWidth="1"/>
    <col min="13302" max="13302" width="58.7109375" style="241" customWidth="1"/>
    <col min="13303" max="13303" width="11.28515625" style="241" customWidth="1"/>
    <col min="13304" max="13304" width="10" style="241" customWidth="1"/>
    <col min="13305" max="13305" width="10.42578125" style="241" customWidth="1"/>
    <col min="13306" max="13306" width="9.7109375" style="241" bestFit="1" customWidth="1"/>
    <col min="13307" max="13307" width="9.5703125" style="241" customWidth="1"/>
    <col min="13308" max="13308" width="9.140625" style="241"/>
    <col min="13309" max="13312" width="9.7109375" style="241" bestFit="1" customWidth="1"/>
    <col min="13313" max="13554" width="9.140625" style="241"/>
    <col min="13555" max="13555" width="3.7109375" style="241" customWidth="1"/>
    <col min="13556" max="13556" width="4.42578125" style="241" customWidth="1"/>
    <col min="13557" max="13557" width="4.28515625" style="241" customWidth="1"/>
    <col min="13558" max="13558" width="58.7109375" style="241" customWidth="1"/>
    <col min="13559" max="13559" width="11.28515625" style="241" customWidth="1"/>
    <col min="13560" max="13560" width="10" style="241" customWidth="1"/>
    <col min="13561" max="13561" width="10.42578125" style="241" customWidth="1"/>
    <col min="13562" max="13562" width="9.7109375" style="241" bestFit="1" customWidth="1"/>
    <col min="13563" max="13563" width="9.5703125" style="241" customWidth="1"/>
    <col min="13564" max="13564" width="9.140625" style="241"/>
    <col min="13565" max="13568" width="9.7109375" style="241" bestFit="1" customWidth="1"/>
    <col min="13569" max="13810" width="9.140625" style="241"/>
    <col min="13811" max="13811" width="3.7109375" style="241" customWidth="1"/>
    <col min="13812" max="13812" width="4.42578125" style="241" customWidth="1"/>
    <col min="13813" max="13813" width="4.28515625" style="241" customWidth="1"/>
    <col min="13814" max="13814" width="58.7109375" style="241" customWidth="1"/>
    <col min="13815" max="13815" width="11.28515625" style="241" customWidth="1"/>
    <col min="13816" max="13816" width="10" style="241" customWidth="1"/>
    <col min="13817" max="13817" width="10.42578125" style="241" customWidth="1"/>
    <col min="13818" max="13818" width="9.7109375" style="241" bestFit="1" customWidth="1"/>
    <col min="13819" max="13819" width="9.5703125" style="241" customWidth="1"/>
    <col min="13820" max="13820" width="9.140625" style="241"/>
    <col min="13821" max="13824" width="9.7109375" style="241" bestFit="1" customWidth="1"/>
    <col min="13825" max="14066" width="9.140625" style="241"/>
    <col min="14067" max="14067" width="3.7109375" style="241" customWidth="1"/>
    <col min="14068" max="14068" width="4.42578125" style="241" customWidth="1"/>
    <col min="14069" max="14069" width="4.28515625" style="241" customWidth="1"/>
    <col min="14070" max="14070" width="58.7109375" style="241" customWidth="1"/>
    <col min="14071" max="14071" width="11.28515625" style="241" customWidth="1"/>
    <col min="14072" max="14072" width="10" style="241" customWidth="1"/>
    <col min="14073" max="14073" width="10.42578125" style="241" customWidth="1"/>
    <col min="14074" max="14074" width="9.7109375" style="241" bestFit="1" customWidth="1"/>
    <col min="14075" max="14075" width="9.5703125" style="241" customWidth="1"/>
    <col min="14076" max="14076" width="9.140625" style="241"/>
    <col min="14077" max="14080" width="9.7109375" style="241" bestFit="1" customWidth="1"/>
    <col min="14081" max="14322" width="9.140625" style="241"/>
    <col min="14323" max="14323" width="3.7109375" style="241" customWidth="1"/>
    <col min="14324" max="14324" width="4.42578125" style="241" customWidth="1"/>
    <col min="14325" max="14325" width="4.28515625" style="241" customWidth="1"/>
    <col min="14326" max="14326" width="58.7109375" style="241" customWidth="1"/>
    <col min="14327" max="14327" width="11.28515625" style="241" customWidth="1"/>
    <col min="14328" max="14328" width="10" style="241" customWidth="1"/>
    <col min="14329" max="14329" width="10.42578125" style="241" customWidth="1"/>
    <col min="14330" max="14330" width="9.7109375" style="241" bestFit="1" customWidth="1"/>
    <col min="14331" max="14331" width="9.5703125" style="241" customWidth="1"/>
    <col min="14332" max="14332" width="9.140625" style="241"/>
    <col min="14333" max="14336" width="9.7109375" style="241" bestFit="1" customWidth="1"/>
    <col min="14337" max="14578" width="9.140625" style="241"/>
    <col min="14579" max="14579" width="3.7109375" style="241" customWidth="1"/>
    <col min="14580" max="14580" width="4.42578125" style="241" customWidth="1"/>
    <col min="14581" max="14581" width="4.28515625" style="241" customWidth="1"/>
    <col min="14582" max="14582" width="58.7109375" style="241" customWidth="1"/>
    <col min="14583" max="14583" width="11.28515625" style="241" customWidth="1"/>
    <col min="14584" max="14584" width="10" style="241" customWidth="1"/>
    <col min="14585" max="14585" width="10.42578125" style="241" customWidth="1"/>
    <col min="14586" max="14586" width="9.7109375" style="241" bestFit="1" customWidth="1"/>
    <col min="14587" max="14587" width="9.5703125" style="241" customWidth="1"/>
    <col min="14588" max="14588" width="9.140625" style="241"/>
    <col min="14589" max="14592" width="9.7109375" style="241" bestFit="1" customWidth="1"/>
    <col min="14593" max="14834" width="9.140625" style="241"/>
    <col min="14835" max="14835" width="3.7109375" style="241" customWidth="1"/>
    <col min="14836" max="14836" width="4.42578125" style="241" customWidth="1"/>
    <col min="14837" max="14837" width="4.28515625" style="241" customWidth="1"/>
    <col min="14838" max="14838" width="58.7109375" style="241" customWidth="1"/>
    <col min="14839" max="14839" width="11.28515625" style="241" customWidth="1"/>
    <col min="14840" max="14840" width="10" style="241" customWidth="1"/>
    <col min="14841" max="14841" width="10.42578125" style="241" customWidth="1"/>
    <col min="14842" max="14842" width="9.7109375" style="241" bestFit="1" customWidth="1"/>
    <col min="14843" max="14843" width="9.5703125" style="241" customWidth="1"/>
    <col min="14844" max="14844" width="9.140625" style="241"/>
    <col min="14845" max="14848" width="9.7109375" style="241" bestFit="1" customWidth="1"/>
    <col min="14849" max="15090" width="9.140625" style="241"/>
    <col min="15091" max="15091" width="3.7109375" style="241" customWidth="1"/>
    <col min="15092" max="15092" width="4.42578125" style="241" customWidth="1"/>
    <col min="15093" max="15093" width="4.28515625" style="241" customWidth="1"/>
    <col min="15094" max="15094" width="58.7109375" style="241" customWidth="1"/>
    <col min="15095" max="15095" width="11.28515625" style="241" customWidth="1"/>
    <col min="15096" max="15096" width="10" style="241" customWidth="1"/>
    <col min="15097" max="15097" width="10.42578125" style="241" customWidth="1"/>
    <col min="15098" max="15098" width="9.7109375" style="241" bestFit="1" customWidth="1"/>
    <col min="15099" max="15099" width="9.5703125" style="241" customWidth="1"/>
    <col min="15100" max="15100" width="9.140625" style="241"/>
    <col min="15101" max="15104" width="9.7109375" style="241" bestFit="1" customWidth="1"/>
    <col min="15105" max="15346" width="9.140625" style="241"/>
    <col min="15347" max="15347" width="3.7109375" style="241" customWidth="1"/>
    <col min="15348" max="15348" width="4.42578125" style="241" customWidth="1"/>
    <col min="15349" max="15349" width="4.28515625" style="241" customWidth="1"/>
    <col min="15350" max="15350" width="58.7109375" style="241" customWidth="1"/>
    <col min="15351" max="15351" width="11.28515625" style="241" customWidth="1"/>
    <col min="15352" max="15352" width="10" style="241" customWidth="1"/>
    <col min="15353" max="15353" width="10.42578125" style="241" customWidth="1"/>
    <col min="15354" max="15354" width="9.7109375" style="241" bestFit="1" customWidth="1"/>
    <col min="15355" max="15355" width="9.5703125" style="241" customWidth="1"/>
    <col min="15356" max="15356" width="9.140625" style="241"/>
    <col min="15357" max="15360" width="9.7109375" style="241" bestFit="1" customWidth="1"/>
    <col min="15361" max="15602" width="9.140625" style="241"/>
    <col min="15603" max="15603" width="3.7109375" style="241" customWidth="1"/>
    <col min="15604" max="15604" width="4.42578125" style="241" customWidth="1"/>
    <col min="15605" max="15605" width="4.28515625" style="241" customWidth="1"/>
    <col min="15606" max="15606" width="58.7109375" style="241" customWidth="1"/>
    <col min="15607" max="15607" width="11.28515625" style="241" customWidth="1"/>
    <col min="15608" max="15608" width="10" style="241" customWidth="1"/>
    <col min="15609" max="15609" width="10.42578125" style="241" customWidth="1"/>
    <col min="15610" max="15610" width="9.7109375" style="241" bestFit="1" customWidth="1"/>
    <col min="15611" max="15611" width="9.5703125" style="241" customWidth="1"/>
    <col min="15612" max="15612" width="9.140625" style="241"/>
    <col min="15613" max="15616" width="9.7109375" style="241" bestFit="1" customWidth="1"/>
    <col min="15617" max="15858" width="9.140625" style="241"/>
    <col min="15859" max="15859" width="3.7109375" style="241" customWidth="1"/>
    <col min="15860" max="15860" width="4.42578125" style="241" customWidth="1"/>
    <col min="15861" max="15861" width="4.28515625" style="241" customWidth="1"/>
    <col min="15862" max="15862" width="58.7109375" style="241" customWidth="1"/>
    <col min="15863" max="15863" width="11.28515625" style="241" customWidth="1"/>
    <col min="15864" max="15864" width="10" style="241" customWidth="1"/>
    <col min="15865" max="15865" width="10.42578125" style="241" customWidth="1"/>
    <col min="15866" max="15866" width="9.7109375" style="241" bestFit="1" customWidth="1"/>
    <col min="15867" max="15867" width="9.5703125" style="241" customWidth="1"/>
    <col min="15868" max="15868" width="9.140625" style="241"/>
    <col min="15869" max="15872" width="9.7109375" style="241" bestFit="1" customWidth="1"/>
    <col min="15873" max="16114" width="9.140625" style="241"/>
    <col min="16115" max="16115" width="3.7109375" style="241" customWidth="1"/>
    <col min="16116" max="16116" width="4.42578125" style="241" customWidth="1"/>
    <col min="16117" max="16117" width="4.28515625" style="241" customWidth="1"/>
    <col min="16118" max="16118" width="58.7109375" style="241" customWidth="1"/>
    <col min="16119" max="16119" width="11.28515625" style="241" customWidth="1"/>
    <col min="16120" max="16120" width="10" style="241" customWidth="1"/>
    <col min="16121" max="16121" width="10.42578125" style="241" customWidth="1"/>
    <col min="16122" max="16122" width="9.7109375" style="241" bestFit="1" customWidth="1"/>
    <col min="16123" max="16123" width="9.5703125" style="241" customWidth="1"/>
    <col min="16124" max="16124" width="9.140625" style="241"/>
    <col min="16125" max="16128" width="9.7109375" style="241" bestFit="1" customWidth="1"/>
    <col min="16129" max="16384" width="9.140625" style="241"/>
  </cols>
  <sheetData>
    <row r="1" spans="1:7">
      <c r="A1" s="391" t="s">
        <v>394</v>
      </c>
      <c r="B1" s="391"/>
      <c r="C1" s="391"/>
      <c r="D1" s="391"/>
      <c r="E1" s="391"/>
      <c r="F1" s="391"/>
      <c r="G1" s="292"/>
    </row>
    <row r="2" spans="1:7">
      <c r="A2" s="391" t="s">
        <v>230</v>
      </c>
      <c r="B2" s="391"/>
      <c r="C2" s="391"/>
      <c r="D2" s="391"/>
      <c r="E2" s="391"/>
      <c r="F2" s="391"/>
      <c r="G2" s="292"/>
    </row>
    <row r="3" spans="1:7">
      <c r="A3" s="391" t="s">
        <v>249</v>
      </c>
      <c r="B3" s="391"/>
      <c r="C3" s="391"/>
      <c r="D3" s="391"/>
      <c r="E3" s="391"/>
      <c r="F3" s="391"/>
      <c r="G3" s="292"/>
    </row>
    <row r="4" spans="1:7">
      <c r="A4" s="240"/>
      <c r="B4" s="240"/>
      <c r="C4" s="240"/>
      <c r="D4" s="240"/>
      <c r="E4" s="240"/>
      <c r="F4" s="293"/>
      <c r="G4" s="292"/>
    </row>
    <row r="5" spans="1:7">
      <c r="A5" s="242"/>
      <c r="B5" s="242"/>
      <c r="C5" s="242"/>
      <c r="D5" s="242"/>
      <c r="E5" s="243" t="s">
        <v>159</v>
      </c>
      <c r="F5" s="294" t="s">
        <v>160</v>
      </c>
      <c r="G5" s="242"/>
    </row>
    <row r="6" spans="1:7">
      <c r="A6" s="242"/>
      <c r="B6" s="242"/>
      <c r="C6" s="242"/>
      <c r="D6" s="242"/>
      <c r="E6" s="240">
        <f>+'Income Statement Cash Flows'!E6</f>
        <v>2022</v>
      </c>
      <c r="F6" s="293">
        <f>+'Income Statement Cash Flows'!F6</f>
        <v>2023</v>
      </c>
      <c r="G6" s="243"/>
    </row>
    <row r="7" spans="1:7">
      <c r="A7" s="241">
        <v>1</v>
      </c>
      <c r="B7" s="241" t="s">
        <v>395</v>
      </c>
      <c r="E7" s="269">
        <f>+'Modeling results'!B4</f>
        <v>2792560.5650605187</v>
      </c>
      <c r="F7" s="295">
        <f>+'Modeling results'!C4</f>
        <v>2756984.0391388019</v>
      </c>
      <c r="G7" s="269"/>
    </row>
    <row r="8" spans="1:7">
      <c r="A8" s="241">
        <v>2</v>
      </c>
      <c r="E8" s="244"/>
      <c r="F8" s="296"/>
      <c r="G8" s="240"/>
    </row>
    <row r="9" spans="1:7">
      <c r="A9" s="241">
        <v>3</v>
      </c>
      <c r="B9" s="241" t="s">
        <v>167</v>
      </c>
    </row>
    <row r="10" spans="1:7">
      <c r="A10" s="241">
        <v>4</v>
      </c>
      <c r="C10" s="241" t="s">
        <v>168</v>
      </c>
      <c r="E10" s="245"/>
      <c r="F10" s="247"/>
      <c r="G10" s="245"/>
    </row>
    <row r="11" spans="1:7">
      <c r="A11" s="241">
        <v>5</v>
      </c>
      <c r="D11" s="241" t="s">
        <v>396</v>
      </c>
      <c r="E11" s="245">
        <f>+'Income Statement Cash Flows'!E9</f>
        <v>706770.61991000001</v>
      </c>
      <c r="F11" s="247">
        <f>+'Income Statement Cash Flows'!F9</f>
        <v>731009.85782000003</v>
      </c>
      <c r="G11" s="245"/>
    </row>
    <row r="12" spans="1:7">
      <c r="A12" s="241">
        <v>6</v>
      </c>
      <c r="D12" s="241" t="s">
        <v>397</v>
      </c>
      <c r="E12" s="245">
        <f>+'Income Statement Cash Flows'!E10</f>
        <v>27749.250039999999</v>
      </c>
      <c r="F12" s="247">
        <f>+'Income Statement Cash Flows'!F10</f>
        <v>27499.999960000001</v>
      </c>
      <c r="G12" s="245"/>
    </row>
    <row r="13" spans="1:7">
      <c r="A13" s="241">
        <v>7</v>
      </c>
      <c r="D13" s="241" t="s">
        <v>171</v>
      </c>
      <c r="E13" s="245">
        <f>+'Income Statement Cash Flows'!E11</f>
        <v>2340.9999300000009</v>
      </c>
      <c r="F13" s="247">
        <f>+'Income Statement Cash Flows'!F11</f>
        <v>2374.9999500000004</v>
      </c>
      <c r="G13" s="245"/>
    </row>
    <row r="14" spans="1:7">
      <c r="A14" s="241">
        <v>8</v>
      </c>
      <c r="D14" s="241" t="s">
        <v>172</v>
      </c>
      <c r="E14" s="245">
        <f>+'Income Statement Cash Flows'!E12</f>
        <v>90689.999979999993</v>
      </c>
      <c r="F14" s="247">
        <f>+'Income Statement Cash Flows'!F12</f>
        <v>88228.999979999993</v>
      </c>
      <c r="G14" s="245"/>
    </row>
    <row r="15" spans="1:7">
      <c r="A15" s="241">
        <v>9</v>
      </c>
      <c r="D15" s="241" t="s">
        <v>132</v>
      </c>
      <c r="E15" s="245">
        <f>+'Income Statement Cash Flows'!E13</f>
        <v>0</v>
      </c>
      <c r="F15" s="247">
        <f>+'Income Statement Cash Flows'!F13</f>
        <v>0</v>
      </c>
      <c r="G15" s="245"/>
    </row>
    <row r="16" spans="1:7">
      <c r="A16" s="241">
        <v>10</v>
      </c>
      <c r="D16" s="241" t="s">
        <v>173</v>
      </c>
      <c r="E16" s="245">
        <f>+'Income Statement Cash Flows'!E14</f>
        <v>265288</v>
      </c>
      <c r="F16" s="247">
        <f>+'Income Statement Cash Flows'!F14</f>
        <v>265315</v>
      </c>
      <c r="G16" s="245"/>
    </row>
    <row r="17" spans="1:7">
      <c r="A17" s="241">
        <v>11</v>
      </c>
      <c r="D17" s="241" t="s">
        <v>174</v>
      </c>
      <c r="E17" s="245">
        <f>+'Income Statement Cash Flows'!E15</f>
        <v>34418.000019999992</v>
      </c>
      <c r="F17" s="247">
        <f>+'Income Statement Cash Flows'!F15</f>
        <v>29467.000039999995</v>
      </c>
      <c r="G17" s="245"/>
    </row>
    <row r="18" spans="1:7">
      <c r="A18" s="241">
        <v>12</v>
      </c>
      <c r="D18" s="241" t="s">
        <v>175</v>
      </c>
      <c r="E18" s="245">
        <f>+'Income Statement Cash Flows'!E16</f>
        <v>121266.8</v>
      </c>
      <c r="F18" s="247">
        <f>+'Income Statement Cash Flows'!F16</f>
        <v>121266.79995999999</v>
      </c>
      <c r="G18" s="245"/>
    </row>
    <row r="19" spans="1:7">
      <c r="A19" s="241">
        <v>13</v>
      </c>
      <c r="C19" s="241" t="s">
        <v>176</v>
      </c>
      <c r="E19" s="245">
        <f>+'Income Statement Cash Flows'!E17</f>
        <v>79506.815230000022</v>
      </c>
      <c r="F19" s="247">
        <f>+'Income Statement Cash Flows'!F17</f>
        <v>82055.73507000001</v>
      </c>
      <c r="G19" s="245"/>
    </row>
    <row r="20" spans="1:7">
      <c r="A20" s="241">
        <v>14</v>
      </c>
      <c r="C20" s="241" t="s">
        <v>177</v>
      </c>
      <c r="E20" s="245">
        <f>+'Income Statement Cash Flows'!E18</f>
        <v>211227.83898999999</v>
      </c>
      <c r="F20" s="247">
        <f>+'Income Statement Cash Flows'!F18</f>
        <v>209388.10498</v>
      </c>
      <c r="G20" s="245"/>
    </row>
    <row r="21" spans="1:7">
      <c r="A21" s="241">
        <v>15</v>
      </c>
      <c r="C21" s="241" t="s">
        <v>398</v>
      </c>
      <c r="E21" s="245">
        <f>+'Income Statement Cash Flows'!E19</f>
        <v>292449.73906999984</v>
      </c>
      <c r="F21" s="247">
        <f>+'Income Statement Cash Flows'!F19</f>
        <v>288626.59134999965</v>
      </c>
      <c r="G21" s="245"/>
    </row>
    <row r="22" spans="1:7">
      <c r="A22" s="241">
        <v>16</v>
      </c>
      <c r="C22" s="241" t="s">
        <v>399</v>
      </c>
      <c r="E22" s="245">
        <f>+'Income Statement Cash Flows'!E20</f>
        <v>85470.972189999971</v>
      </c>
      <c r="F22" s="247">
        <f>+'Income Statement Cash Flows'!F20</f>
        <v>86514.930899999978</v>
      </c>
      <c r="G22" s="245"/>
    </row>
    <row r="23" spans="1:7">
      <c r="A23" s="241">
        <v>17</v>
      </c>
      <c r="C23" s="241" t="s">
        <v>179</v>
      </c>
      <c r="E23" s="245">
        <f>+'Income Statement Cash Flows'!E21</f>
        <v>0</v>
      </c>
      <c r="F23" s="247">
        <f>+'Income Statement Cash Flows'!F21</f>
        <v>0</v>
      </c>
      <c r="G23" s="245"/>
    </row>
    <row r="24" spans="1:7">
      <c r="A24" s="241">
        <v>18</v>
      </c>
      <c r="C24" s="246" t="s">
        <v>190</v>
      </c>
      <c r="E24" s="245">
        <f>+'Income Statement Cash Flows'!E22</f>
        <v>140948.65333333332</v>
      </c>
      <c r="F24" s="247">
        <f>+'Income Statement Cash Flows'!F22</f>
        <v>144154.65333333332</v>
      </c>
      <c r="G24" s="245"/>
    </row>
    <row r="25" spans="1:7">
      <c r="A25" s="241">
        <v>19</v>
      </c>
      <c r="B25" s="246"/>
      <c r="C25" s="246" t="s">
        <v>191</v>
      </c>
      <c r="D25" s="246"/>
      <c r="E25" s="245">
        <f>+'Income Statement Cash Flows'!E23</f>
        <v>320900.43823960901</v>
      </c>
      <c r="F25" s="247">
        <f>+'Income Statement Cash Flows'!F23</f>
        <v>317319.55282454338</v>
      </c>
      <c r="G25" s="245"/>
    </row>
    <row r="26" spans="1:7">
      <c r="A26" s="241">
        <v>20</v>
      </c>
      <c r="B26" s="246"/>
      <c r="C26" s="246" t="s">
        <v>716</v>
      </c>
      <c r="D26" s="246"/>
      <c r="E26" s="258">
        <f>+'Income Statement Cash Flows'!E24</f>
        <v>36753.702599078257</v>
      </c>
      <c r="F26" s="251">
        <f>+'Income Statement Cash Flows'!F24</f>
        <v>38362.713615484623</v>
      </c>
      <c r="G26" s="245"/>
    </row>
    <row r="27" spans="1:7">
      <c r="A27" s="241">
        <v>21</v>
      </c>
      <c r="B27" s="241" t="s">
        <v>192</v>
      </c>
      <c r="E27" s="245">
        <f>SUM(E11:E26)</f>
        <v>2415781.8295320207</v>
      </c>
      <c r="F27" s="247">
        <f>SUM(F11:F26)</f>
        <v>2431584.9397833613</v>
      </c>
      <c r="G27" s="245"/>
    </row>
    <row r="28" spans="1:7">
      <c r="A28" s="241">
        <v>22</v>
      </c>
      <c r="E28" s="245"/>
      <c r="F28" s="247"/>
      <c r="G28" s="245"/>
    </row>
    <row r="29" spans="1:7">
      <c r="A29" s="241">
        <v>23</v>
      </c>
      <c r="B29" s="241" t="s">
        <v>698</v>
      </c>
      <c r="C29" s="247"/>
      <c r="D29" s="247"/>
      <c r="E29" s="247"/>
      <c r="F29" s="247"/>
      <c r="G29" s="245"/>
    </row>
    <row r="30" spans="1:7">
      <c r="A30" s="241">
        <v>24</v>
      </c>
      <c r="B30" s="247"/>
      <c r="C30" s="247" t="s">
        <v>181</v>
      </c>
      <c r="D30" s="247"/>
      <c r="E30" s="247"/>
      <c r="F30" s="247"/>
      <c r="G30" s="245"/>
    </row>
    <row r="31" spans="1:7">
      <c r="A31" s="241">
        <v>25</v>
      </c>
      <c r="B31" s="247"/>
      <c r="C31" s="247"/>
      <c r="D31" s="247" t="s">
        <v>182</v>
      </c>
      <c r="E31" s="247">
        <f>+'Federal Capital Costs'!D5</f>
        <v>38411</v>
      </c>
      <c r="F31" s="247">
        <f>+'Federal Capital Costs'!E5</f>
        <v>38609</v>
      </c>
      <c r="G31" s="245"/>
    </row>
    <row r="32" spans="1:7">
      <c r="A32" s="241">
        <v>26</v>
      </c>
      <c r="B32" s="247"/>
      <c r="D32" s="247" t="s">
        <v>183</v>
      </c>
      <c r="E32" s="247">
        <f>+'Income Statement Cash Flows'!E30</f>
        <v>-45937</v>
      </c>
      <c r="F32" s="247">
        <f>+'Income Statement Cash Flows'!F30</f>
        <v>-45937</v>
      </c>
      <c r="G32" s="245"/>
    </row>
    <row r="33" spans="1:16">
      <c r="A33" s="241">
        <v>27</v>
      </c>
      <c r="B33" s="247"/>
      <c r="C33" s="247"/>
      <c r="D33" s="247" t="s">
        <v>184</v>
      </c>
      <c r="E33" s="247">
        <f>+'Federal Capital Costs'!D4+'Federal Capital Costs'!D69</f>
        <v>43986</v>
      </c>
      <c r="F33" s="247">
        <f>+'Federal Capital Costs'!E4+'Federal Capital Costs'!E69</f>
        <v>39113</v>
      </c>
      <c r="G33" s="245"/>
    </row>
    <row r="34" spans="1:16">
      <c r="A34" s="241">
        <v>28</v>
      </c>
      <c r="B34" s="246"/>
      <c r="D34" s="246" t="s">
        <v>686</v>
      </c>
      <c r="E34" s="247">
        <f>+'Federal Capital Costs'!D8</f>
        <v>767</v>
      </c>
      <c r="F34" s="247">
        <f>+'Federal Capital Costs'!E8</f>
        <v>1768</v>
      </c>
      <c r="G34" s="245"/>
    </row>
    <row r="35" spans="1:16">
      <c r="A35" s="241">
        <v>29</v>
      </c>
      <c r="B35" s="246"/>
      <c r="D35" s="246" t="s">
        <v>250</v>
      </c>
      <c r="E35" s="247">
        <f>+'Income Statement Cash Flows'!E33</f>
        <v>236318.49857060824</v>
      </c>
      <c r="F35" s="247">
        <f>+'Income Statement Cash Flows'!F33</f>
        <v>228327.15562309994</v>
      </c>
      <c r="G35" s="245"/>
    </row>
    <row r="36" spans="1:16">
      <c r="A36" s="241">
        <v>30</v>
      </c>
      <c r="B36" s="246"/>
      <c r="D36" s="247" t="s">
        <v>748</v>
      </c>
      <c r="E36" s="247">
        <f>+'Income Statement Cash Flows'!E34</f>
        <v>-7561.5887000000002</v>
      </c>
      <c r="F36" s="247">
        <f>+'Income Statement Cash Flows'!F34</f>
        <v>-7490.78532</v>
      </c>
      <c r="G36" s="245"/>
    </row>
    <row r="37" spans="1:16">
      <c r="A37" s="241">
        <v>31</v>
      </c>
      <c r="B37" s="246"/>
      <c r="D37" s="247" t="s">
        <v>747</v>
      </c>
      <c r="E37" s="247">
        <f>+'Income Statement Cash Flows'!E35</f>
        <v>168.60468</v>
      </c>
      <c r="F37" s="247">
        <f>+'Income Statement Cash Flows'!F35</f>
        <v>168.60468</v>
      </c>
      <c r="G37" s="245"/>
    </row>
    <row r="38" spans="1:16">
      <c r="A38" s="241">
        <v>32</v>
      </c>
      <c r="B38" s="246"/>
      <c r="C38" s="247" t="s">
        <v>185</v>
      </c>
      <c r="D38" s="247"/>
      <c r="E38" s="247">
        <f>+'Income Statement Cash Flows'!E36</f>
        <v>-11004.91178</v>
      </c>
      <c r="F38" s="247">
        <f>+'Income Statement Cash Flows'!F36</f>
        <v>-11469.00268</v>
      </c>
      <c r="G38" s="245"/>
    </row>
    <row r="39" spans="1:16">
      <c r="A39" s="241">
        <v>33</v>
      </c>
      <c r="B39" s="247"/>
      <c r="C39" s="247" t="s">
        <v>186</v>
      </c>
      <c r="D39" s="247"/>
      <c r="E39" s="245">
        <f>-'interest credit calculations'!C76</f>
        <v>-1513.6187591016474</v>
      </c>
      <c r="F39" s="247">
        <f>-'interest credit calculations'!D76</f>
        <v>-1462.7816804774643</v>
      </c>
      <c r="G39" s="245"/>
      <c r="O39" s="245"/>
      <c r="P39" s="245"/>
    </row>
    <row r="40" spans="1:16">
      <c r="A40" s="241">
        <v>34</v>
      </c>
      <c r="B40" s="247"/>
      <c r="C40" s="241" t="s">
        <v>699</v>
      </c>
      <c r="D40" s="247"/>
      <c r="E40" s="245">
        <f>+'Income Statement Cash Flows'!E38</f>
        <v>-9857.4198361257986</v>
      </c>
      <c r="F40" s="247">
        <f>+'Income Statement Cash Flows'!F38</f>
        <v>-10198.165340933187</v>
      </c>
      <c r="G40" s="245"/>
      <c r="O40" s="245"/>
      <c r="P40" s="245"/>
    </row>
    <row r="41" spans="1:16">
      <c r="A41" s="241">
        <v>35</v>
      </c>
      <c r="B41" s="247"/>
      <c r="C41" s="247" t="s">
        <v>740</v>
      </c>
      <c r="D41" s="247"/>
      <c r="E41" s="258">
        <f>+'Income Statement Cash Flows'!E39</f>
        <v>-3398.7278184283846</v>
      </c>
      <c r="F41" s="251">
        <f>+'Income Statement Cash Flows'!F39</f>
        <v>-3516.2130473672032</v>
      </c>
      <c r="G41" s="245"/>
    </row>
    <row r="42" spans="1:16">
      <c r="A42" s="241">
        <v>36</v>
      </c>
      <c r="B42" s="241" t="s">
        <v>710</v>
      </c>
      <c r="C42" s="247"/>
      <c r="D42" s="247"/>
      <c r="E42" s="247">
        <f>SUM(E31:E41)</f>
        <v>240377.83635695235</v>
      </c>
      <c r="F42" s="247">
        <f>SUM(F31:F41)</f>
        <v>227911.81223432207</v>
      </c>
      <c r="G42" s="245"/>
    </row>
    <row r="43" spans="1:16">
      <c r="A43" s="241">
        <v>37</v>
      </c>
      <c r="B43" s="247"/>
      <c r="C43" s="247"/>
      <c r="D43" s="247"/>
      <c r="E43" s="247"/>
      <c r="F43" s="247"/>
      <c r="G43" s="245"/>
    </row>
    <row r="44" spans="1:16">
      <c r="A44" s="241">
        <v>38</v>
      </c>
      <c r="B44" s="247" t="s">
        <v>187</v>
      </c>
      <c r="C44" s="247"/>
      <c r="D44" s="247"/>
      <c r="E44" s="247">
        <f>E42+E27</f>
        <v>2656159.665888973</v>
      </c>
      <c r="F44" s="247">
        <f>F42+F27</f>
        <v>2659496.7520176833</v>
      </c>
      <c r="G44" s="247"/>
    </row>
    <row r="45" spans="1:16">
      <c r="A45" s="241">
        <v>39</v>
      </c>
      <c r="B45" s="247"/>
      <c r="C45" s="247"/>
      <c r="D45" s="247"/>
      <c r="E45" s="247"/>
      <c r="F45" s="247"/>
      <c r="G45" s="245"/>
    </row>
    <row r="46" spans="1:16">
      <c r="A46" s="241">
        <v>40</v>
      </c>
      <c r="B46" s="247" t="s">
        <v>400</v>
      </c>
      <c r="C46" s="247"/>
      <c r="D46" s="247"/>
      <c r="E46" s="247">
        <f>E7-E44</f>
        <v>136400.89917154564</v>
      </c>
      <c r="F46" s="247">
        <f>F7-F44</f>
        <v>97487.287121118512</v>
      </c>
      <c r="G46" s="247"/>
    </row>
    <row r="47" spans="1:16">
      <c r="B47" s="245"/>
      <c r="C47" s="245"/>
      <c r="D47" s="245"/>
      <c r="E47" s="245"/>
      <c r="F47" s="247"/>
      <c r="G47" s="245"/>
    </row>
    <row r="48" spans="1:16">
      <c r="B48" s="245"/>
      <c r="C48" s="245"/>
      <c r="D48" s="245"/>
      <c r="E48" s="245"/>
      <c r="F48" s="247"/>
      <c r="G48" s="245"/>
    </row>
    <row r="49" spans="1:7">
      <c r="B49" s="245"/>
      <c r="C49" s="245"/>
      <c r="D49" s="245"/>
      <c r="E49" s="245"/>
      <c r="F49" s="247"/>
      <c r="G49" s="245"/>
    </row>
    <row r="50" spans="1:7">
      <c r="B50" s="245"/>
      <c r="C50" s="245"/>
      <c r="D50" s="245"/>
      <c r="E50" s="245"/>
      <c r="F50" s="247"/>
      <c r="G50" s="254"/>
    </row>
    <row r="51" spans="1:7">
      <c r="F51" s="297"/>
      <c r="G51" s="245"/>
    </row>
    <row r="52" spans="1:7">
      <c r="E52" s="245"/>
      <c r="F52" s="247"/>
      <c r="G52" s="245"/>
    </row>
    <row r="53" spans="1:7">
      <c r="A53" s="255"/>
      <c r="E53" s="245"/>
      <c r="F53" s="247"/>
      <c r="G53" s="245"/>
    </row>
    <row r="56" spans="1:7">
      <c r="A56" s="391" t="s">
        <v>394</v>
      </c>
      <c r="B56" s="391"/>
      <c r="C56" s="391"/>
      <c r="D56" s="391"/>
      <c r="E56" s="391"/>
      <c r="F56" s="391"/>
      <c r="G56" s="292"/>
    </row>
    <row r="57" spans="1:7">
      <c r="A57" s="391" t="s">
        <v>233</v>
      </c>
      <c r="B57" s="391"/>
      <c r="C57" s="391"/>
      <c r="D57" s="391"/>
      <c r="E57" s="391"/>
      <c r="F57" s="391"/>
      <c r="G57" s="292"/>
    </row>
    <row r="58" spans="1:7">
      <c r="A58" s="391" t="s">
        <v>353</v>
      </c>
      <c r="B58" s="391"/>
      <c r="C58" s="391"/>
      <c r="D58" s="391"/>
      <c r="E58" s="391"/>
      <c r="F58" s="391"/>
      <c r="G58" s="292"/>
    </row>
    <row r="59" spans="1:7">
      <c r="A59" s="245"/>
      <c r="B59" s="245"/>
      <c r="C59" s="245"/>
      <c r="D59" s="245"/>
      <c r="E59" s="245"/>
      <c r="F59" s="247"/>
      <c r="G59" s="245"/>
    </row>
    <row r="60" spans="1:7">
      <c r="A60" s="245"/>
      <c r="B60" s="245"/>
      <c r="C60" s="245"/>
      <c r="D60" s="245"/>
      <c r="E60" s="243" t="s">
        <v>159</v>
      </c>
      <c r="F60" s="294" t="s">
        <v>160</v>
      </c>
      <c r="G60" s="243"/>
    </row>
    <row r="61" spans="1:7">
      <c r="A61" s="245"/>
      <c r="B61" s="245"/>
      <c r="C61" s="245"/>
      <c r="D61" s="245"/>
      <c r="E61" s="240">
        <f>+'Income Statement Cash Flows'!E6</f>
        <v>2022</v>
      </c>
      <c r="F61" s="293">
        <f>+'Income Statement Cash Flows'!F6</f>
        <v>2023</v>
      </c>
      <c r="G61" s="240"/>
    </row>
    <row r="62" spans="1:7">
      <c r="A62" s="245">
        <v>1</v>
      </c>
      <c r="B62" s="245" t="s">
        <v>237</v>
      </c>
      <c r="C62" s="245"/>
      <c r="D62" s="245"/>
      <c r="E62" s="245"/>
      <c r="F62" s="247"/>
      <c r="G62" s="245"/>
    </row>
    <row r="63" spans="1:7" hidden="1">
      <c r="A63" s="245"/>
      <c r="B63" s="245"/>
      <c r="C63" s="245" t="s">
        <v>401</v>
      </c>
      <c r="D63" s="245"/>
      <c r="E63" s="245">
        <f>E7-E27-E31-E32-E33-E34-E38-E35-E36-E37-E40-E41</f>
        <v>134887.28041244391</v>
      </c>
      <c r="F63" s="245">
        <f>F7-F27-F31-F32-F33-F34-F38-F35-F36-F37-F40-F41</f>
        <v>96024.505440641005</v>
      </c>
      <c r="G63" s="245"/>
    </row>
    <row r="64" spans="1:7">
      <c r="A64" s="245">
        <v>2</v>
      </c>
      <c r="B64" s="245"/>
      <c r="C64" s="245" t="s">
        <v>400</v>
      </c>
      <c r="D64" s="245"/>
      <c r="E64" s="245">
        <f>E46</f>
        <v>136400.89917154564</v>
      </c>
      <c r="F64" s="247">
        <f>F46</f>
        <v>97487.287121118512</v>
      </c>
      <c r="G64" s="247"/>
    </row>
    <row r="65" spans="1:12">
      <c r="A65" s="245">
        <v>3</v>
      </c>
      <c r="B65" s="245"/>
      <c r="C65" s="245" t="s">
        <v>235</v>
      </c>
      <c r="D65" s="245"/>
      <c r="E65" s="245"/>
      <c r="F65" s="247"/>
      <c r="G65" s="245"/>
    </row>
    <row r="66" spans="1:12">
      <c r="A66" s="245">
        <v>4</v>
      </c>
      <c r="B66" s="245"/>
      <c r="C66" s="245"/>
      <c r="D66" s="245" t="s">
        <v>250</v>
      </c>
      <c r="E66" s="245">
        <f>+'Income Statement Cash Flows'!E63</f>
        <v>7853.9735706082802</v>
      </c>
      <c r="F66" s="247">
        <f>+'Income Statement Cash Flows'!F63</f>
        <v>6798.6066230999504</v>
      </c>
      <c r="G66" s="245"/>
      <c r="K66" s="245"/>
      <c r="L66" s="245"/>
    </row>
    <row r="67" spans="1:12">
      <c r="A67" s="245">
        <v>5</v>
      </c>
      <c r="B67" s="245"/>
      <c r="C67" s="245"/>
      <c r="D67" s="245" t="s">
        <v>236</v>
      </c>
      <c r="E67" s="245">
        <f>E24+E25</f>
        <v>461849.09157294233</v>
      </c>
      <c r="F67" s="247">
        <f>F24+F25</f>
        <v>461474.2061578767</v>
      </c>
      <c r="G67" s="245"/>
      <c r="K67" s="245"/>
      <c r="L67" s="245"/>
    </row>
    <row r="68" spans="1:12">
      <c r="A68" s="245">
        <v>6</v>
      </c>
      <c r="B68" s="245"/>
      <c r="C68" s="245"/>
      <c r="D68" s="246" t="s">
        <v>716</v>
      </c>
      <c r="E68" s="245">
        <f>+E26</f>
        <v>36753.702599078257</v>
      </c>
      <c r="F68" s="247">
        <f>+F26</f>
        <v>38362.713615484623</v>
      </c>
      <c r="G68" s="245"/>
      <c r="K68" s="245"/>
      <c r="L68" s="245"/>
    </row>
    <row r="69" spans="1:12">
      <c r="A69" s="245">
        <v>7</v>
      </c>
      <c r="B69" s="245"/>
      <c r="C69" s="245"/>
      <c r="D69" s="245" t="s">
        <v>562</v>
      </c>
      <c r="E69" s="245">
        <f>+'Income Statement Cash Flows'!E66</f>
        <v>64670.338436750957</v>
      </c>
      <c r="F69" s="247">
        <f>+'Income Statement Cash Flows'!F66</f>
        <v>59440.37435481172</v>
      </c>
      <c r="G69" s="245"/>
      <c r="K69" s="245"/>
      <c r="L69" s="245"/>
    </row>
    <row r="70" spans="1:12">
      <c r="A70" s="245">
        <v>8</v>
      </c>
      <c r="B70" s="245"/>
      <c r="C70" s="245"/>
      <c r="D70" s="245" t="s">
        <v>183</v>
      </c>
      <c r="E70" s="245">
        <f>E32</f>
        <v>-45937</v>
      </c>
      <c r="F70" s="247">
        <f>F32</f>
        <v>-45937</v>
      </c>
      <c r="G70" s="245"/>
      <c r="K70" s="245"/>
      <c r="L70" s="245"/>
    </row>
    <row r="71" spans="1:12">
      <c r="A71" s="245">
        <v>9</v>
      </c>
      <c r="B71" s="254"/>
      <c r="C71" s="298"/>
      <c r="D71" s="245" t="s">
        <v>402</v>
      </c>
      <c r="E71" s="245">
        <f>+'Income Statement Cash Flows'!E68</f>
        <v>-30600</v>
      </c>
      <c r="F71" s="247">
        <f>+'Income Statement Cash Flows'!F68</f>
        <v>-30600</v>
      </c>
      <c r="G71" s="245"/>
      <c r="K71" s="245"/>
      <c r="L71" s="245"/>
    </row>
    <row r="72" spans="1:12">
      <c r="A72" s="245">
        <v>10</v>
      </c>
      <c r="B72" s="254"/>
      <c r="C72" s="298"/>
      <c r="D72" s="247" t="s">
        <v>748</v>
      </c>
      <c r="E72" s="245">
        <f>+E36</f>
        <v>-7561.5887000000002</v>
      </c>
      <c r="F72" s="247">
        <f>+F36</f>
        <v>-7490.78532</v>
      </c>
      <c r="G72" s="245"/>
      <c r="K72" s="245"/>
      <c r="L72" s="245"/>
    </row>
    <row r="73" spans="1:12">
      <c r="A73" s="245">
        <v>11</v>
      </c>
      <c r="B73" s="254"/>
      <c r="C73" s="298"/>
      <c r="D73" s="247" t="s">
        <v>747</v>
      </c>
      <c r="E73" s="245">
        <f>+E37</f>
        <v>168.60468</v>
      </c>
      <c r="F73" s="247">
        <f>+F37</f>
        <v>168.60468</v>
      </c>
      <c r="G73" s="245"/>
      <c r="K73" s="245"/>
      <c r="L73" s="245"/>
    </row>
    <row r="74" spans="1:12">
      <c r="A74" s="245">
        <v>12</v>
      </c>
      <c r="B74" s="254"/>
      <c r="C74" s="241" t="s">
        <v>700</v>
      </c>
      <c r="D74" s="245"/>
      <c r="E74" s="245">
        <f>-'IPR Data'!C84/1000</f>
        <v>-4472</v>
      </c>
      <c r="F74" s="247">
        <f>-'IPR Data'!D84/1000</f>
        <v>-4650.88</v>
      </c>
      <c r="G74" s="245"/>
      <c r="K74" s="245"/>
      <c r="L74" s="245"/>
    </row>
    <row r="75" spans="1:12">
      <c r="A75" s="245">
        <v>13</v>
      </c>
      <c r="B75" s="254"/>
      <c r="C75" s="241" t="s">
        <v>666</v>
      </c>
      <c r="D75" s="245"/>
      <c r="E75" s="245">
        <f>+'Income Statement Cash Flows'!E72</f>
        <v>16510</v>
      </c>
      <c r="F75" s="247">
        <f>+'Income Statement Cash Flows'!F72</f>
        <v>16865</v>
      </c>
      <c r="G75" s="245"/>
      <c r="K75" s="245"/>
      <c r="L75" s="245"/>
    </row>
    <row r="76" spans="1:12">
      <c r="A76" s="245">
        <v>14</v>
      </c>
      <c r="B76" s="247"/>
      <c r="C76" s="246" t="s">
        <v>403</v>
      </c>
      <c r="D76" s="247"/>
      <c r="E76" s="251">
        <v>-7000</v>
      </c>
      <c r="F76" s="251">
        <f>-E76</f>
        <v>7000</v>
      </c>
      <c r="G76" s="245"/>
      <c r="K76" s="245"/>
      <c r="L76" s="245"/>
    </row>
    <row r="77" spans="1:12">
      <c r="A77" s="245">
        <v>15</v>
      </c>
      <c r="B77" s="245" t="s">
        <v>237</v>
      </c>
      <c r="C77" s="245"/>
      <c r="D77" s="245"/>
      <c r="E77" s="299">
        <f>SUM(E64:E76)</f>
        <v>628636.02133092552</v>
      </c>
      <c r="F77" s="257">
        <f>SUM(F64:F76)</f>
        <v>598918.1272323915</v>
      </c>
      <c r="G77" s="299"/>
      <c r="K77" s="245"/>
      <c r="L77" s="245"/>
    </row>
    <row r="78" spans="1:12">
      <c r="A78" s="245">
        <v>16</v>
      </c>
      <c r="B78" s="245"/>
      <c r="C78" s="245"/>
      <c r="D78" s="245"/>
      <c r="E78" s="245"/>
      <c r="F78" s="247"/>
      <c r="G78" s="245"/>
      <c r="K78" s="245"/>
      <c r="L78" s="245"/>
    </row>
    <row r="79" spans="1:12">
      <c r="A79" s="245">
        <v>17</v>
      </c>
      <c r="B79" s="245" t="s">
        <v>404</v>
      </c>
      <c r="C79" s="245"/>
      <c r="D79" s="245"/>
      <c r="E79" s="245"/>
      <c r="F79" s="247"/>
      <c r="G79" s="245"/>
      <c r="K79" s="245"/>
      <c r="L79" s="245"/>
    </row>
    <row r="80" spans="1:12">
      <c r="A80" s="245">
        <v>18</v>
      </c>
      <c r="B80" s="245"/>
      <c r="C80" s="245" t="s">
        <v>238</v>
      </c>
      <c r="D80" s="245"/>
      <c r="E80" s="245"/>
      <c r="F80" s="247"/>
      <c r="G80" s="245"/>
      <c r="K80" s="245"/>
      <c r="L80" s="245"/>
    </row>
    <row r="81" spans="1:12">
      <c r="A81" s="245">
        <v>19</v>
      </c>
      <c r="B81" s="245"/>
      <c r="C81" s="245"/>
      <c r="D81" s="245" t="s">
        <v>405</v>
      </c>
      <c r="E81" s="245">
        <f>+'Income Statement Cash Flows'!E77</f>
        <v>-290258.26174324</v>
      </c>
      <c r="F81" s="247">
        <f>+'Income Statement Cash Flows'!F77</f>
        <v>-296350.0564</v>
      </c>
      <c r="G81" s="245"/>
      <c r="K81" s="245"/>
      <c r="L81" s="245"/>
    </row>
    <row r="82" spans="1:12">
      <c r="A82" s="245">
        <v>20</v>
      </c>
      <c r="B82" s="245"/>
      <c r="C82" s="245"/>
      <c r="D82" s="245" t="s">
        <v>226</v>
      </c>
      <c r="E82" s="245">
        <f>+'Income Statement Cash Flows'!E78</f>
        <v>-43000</v>
      </c>
      <c r="F82" s="247">
        <f>+'Income Statement Cash Flows'!F78</f>
        <v>-43000</v>
      </c>
      <c r="G82" s="245"/>
      <c r="K82" s="245"/>
      <c r="L82" s="245"/>
    </row>
    <row r="83" spans="1:12">
      <c r="A83" s="245">
        <v>21</v>
      </c>
      <c r="B83" s="245" t="s">
        <v>404</v>
      </c>
      <c r="C83" s="245"/>
      <c r="D83" s="245"/>
      <c r="E83" s="245">
        <f>SUM(E81:E82)</f>
        <v>-333258.26174324</v>
      </c>
      <c r="F83" s="247">
        <f>SUM(F81:F82)</f>
        <v>-339350.0564</v>
      </c>
      <c r="G83" s="245"/>
      <c r="K83" s="245"/>
      <c r="L83" s="245"/>
    </row>
    <row r="84" spans="1:12">
      <c r="A84" s="245">
        <v>22</v>
      </c>
      <c r="B84" s="245"/>
      <c r="C84" s="245"/>
      <c r="D84" s="245"/>
      <c r="E84" s="245"/>
      <c r="F84" s="247"/>
      <c r="G84" s="245"/>
      <c r="K84" s="245"/>
      <c r="L84" s="245"/>
    </row>
    <row r="85" spans="1:12">
      <c r="A85" s="245">
        <v>23</v>
      </c>
      <c r="B85" s="245" t="s">
        <v>406</v>
      </c>
      <c r="C85" s="245"/>
      <c r="D85" s="245"/>
      <c r="E85" s="245"/>
      <c r="F85" s="247"/>
      <c r="G85" s="245"/>
      <c r="K85" s="245"/>
      <c r="L85" s="245"/>
    </row>
    <row r="86" spans="1:12">
      <c r="A86" s="245">
        <v>24</v>
      </c>
      <c r="C86" s="245" t="s">
        <v>407</v>
      </c>
      <c r="D86" s="245"/>
      <c r="E86" s="245">
        <f>+'Income Statement Cash Flows'!E82</f>
        <v>274089.8</v>
      </c>
      <c r="F86" s="247">
        <f>+'Income Statement Cash Flows'!F82</f>
        <v>291139.8</v>
      </c>
      <c r="G86" s="245"/>
      <c r="K86" s="245"/>
      <c r="L86" s="245"/>
    </row>
    <row r="87" spans="1:12">
      <c r="A87" s="245">
        <v>25</v>
      </c>
      <c r="C87" s="245" t="s">
        <v>409</v>
      </c>
      <c r="D87" s="245"/>
      <c r="E87" s="245">
        <f>-'Federal Capital Costs'!D14</f>
        <v>-495001</v>
      </c>
      <c r="F87" s="247">
        <f>-'Federal Capital Costs'!E14</f>
        <v>-525000</v>
      </c>
      <c r="G87" s="245"/>
      <c r="K87" s="245"/>
      <c r="L87" s="245"/>
    </row>
    <row r="88" spans="1:12">
      <c r="A88" s="245">
        <v>26</v>
      </c>
      <c r="C88" s="245" t="s">
        <v>243</v>
      </c>
      <c r="D88" s="245"/>
      <c r="E88" s="245">
        <f>+'Income Statement Cash Flows'!E84</f>
        <v>19168.461743240001</v>
      </c>
      <c r="F88" s="247">
        <f>+'Income Statement Cash Flows'!F84</f>
        <v>8210.2563999999984</v>
      </c>
      <c r="G88" s="245"/>
      <c r="K88" s="245"/>
      <c r="L88" s="245"/>
    </row>
    <row r="89" spans="1:12">
      <c r="A89" s="245">
        <v>27</v>
      </c>
      <c r="C89" s="245" t="s">
        <v>244</v>
      </c>
      <c r="D89" s="245"/>
      <c r="E89" s="245">
        <f>-'Federal Capital Costs'!D13</f>
        <v>0</v>
      </c>
      <c r="F89" s="247">
        <f>-'Federal Capital Costs'!E13</f>
        <v>0</v>
      </c>
      <c r="G89" s="245"/>
      <c r="K89" s="245"/>
      <c r="L89" s="245"/>
    </row>
    <row r="90" spans="1:12">
      <c r="A90" s="245">
        <v>28</v>
      </c>
      <c r="C90" s="245" t="s">
        <v>563</v>
      </c>
      <c r="D90" s="245"/>
      <c r="E90" s="245">
        <f>+'Income Statement Cash Flows'!E86</f>
        <v>-16005.150000000007</v>
      </c>
      <c r="F90" s="247">
        <f>+'Income Statement Cash Flows'!F86</f>
        <v>-21111.400000000005</v>
      </c>
      <c r="G90" s="245"/>
      <c r="K90" s="245"/>
      <c r="L90" s="245"/>
    </row>
    <row r="91" spans="1:12">
      <c r="A91" s="245">
        <v>29</v>
      </c>
      <c r="C91" s="245" t="s">
        <v>408</v>
      </c>
      <c r="D91" s="245"/>
      <c r="E91" s="245">
        <f>+'Income Statement Cash Flows'!E87</f>
        <v>0</v>
      </c>
      <c r="F91" s="247">
        <v>0</v>
      </c>
      <c r="G91" s="245"/>
      <c r="K91" s="245"/>
      <c r="L91" s="245"/>
    </row>
    <row r="92" spans="1:12">
      <c r="A92" s="245">
        <v>30</v>
      </c>
      <c r="C92" s="245" t="s">
        <v>245</v>
      </c>
      <c r="D92" s="245"/>
      <c r="E92" s="258">
        <f>+'Income Statement Cash Flows'!E88</f>
        <v>-16060</v>
      </c>
      <c r="F92" s="251">
        <f>+'Income Statement Cash Flows'!F88</f>
        <v>-12762</v>
      </c>
      <c r="G92" s="245"/>
      <c r="K92" s="245"/>
      <c r="L92" s="245"/>
    </row>
    <row r="93" spans="1:12">
      <c r="A93" s="245">
        <v>31</v>
      </c>
      <c r="B93" s="245" t="s">
        <v>410</v>
      </c>
      <c r="C93" s="245"/>
      <c r="D93" s="245"/>
      <c r="E93" s="245">
        <f>SUM(E86:E92)</f>
        <v>-233807.88825675999</v>
      </c>
      <c r="F93" s="247">
        <f>SUM(F86:F92)</f>
        <v>-259523.34359999999</v>
      </c>
      <c r="G93" s="245"/>
      <c r="K93" s="245"/>
      <c r="L93" s="245"/>
    </row>
    <row r="94" spans="1:12">
      <c r="A94" s="245">
        <v>32</v>
      </c>
      <c r="B94" s="245"/>
      <c r="C94" s="245"/>
      <c r="D94" s="245"/>
      <c r="E94" s="245"/>
      <c r="F94" s="247"/>
      <c r="G94" s="245"/>
    </row>
    <row r="95" spans="1:12">
      <c r="A95" s="245">
        <v>33</v>
      </c>
      <c r="B95" s="247" t="s">
        <v>247</v>
      </c>
      <c r="C95" s="247"/>
      <c r="D95" s="247"/>
      <c r="E95" s="247">
        <f>E77+E83+E93</f>
        <v>61569.871330925525</v>
      </c>
      <c r="F95" s="247">
        <f>F77+F83+F93</f>
        <v>44.72723239150946</v>
      </c>
      <c r="G95" s="245"/>
    </row>
    <row r="96" spans="1:12">
      <c r="A96" s="245"/>
      <c r="B96" s="245"/>
      <c r="C96" s="245"/>
      <c r="D96" s="245"/>
      <c r="E96" s="245"/>
      <c r="F96" s="247"/>
      <c r="G96" s="245"/>
    </row>
    <row r="97" spans="1:7">
      <c r="A97" s="245"/>
      <c r="B97" s="245"/>
      <c r="C97" s="245"/>
      <c r="D97" s="245"/>
      <c r="E97" s="245"/>
      <c r="F97" s="247"/>
      <c r="G97" s="245"/>
    </row>
    <row r="98" spans="1:7">
      <c r="A98" s="245"/>
      <c r="B98" s="245"/>
      <c r="C98" s="245"/>
      <c r="D98" s="300"/>
      <c r="E98" s="245"/>
      <c r="F98" s="247"/>
      <c r="G98" s="245"/>
    </row>
    <row r="99" spans="1:7">
      <c r="C99" s="245"/>
      <c r="D99" s="300"/>
      <c r="E99" s="245"/>
      <c r="F99" s="247"/>
      <c r="G99" s="245"/>
    </row>
    <row r="100" spans="1:7">
      <c r="A100" s="245"/>
      <c r="C100" s="245"/>
      <c r="D100" s="300"/>
      <c r="E100" s="245"/>
      <c r="F100" s="247"/>
      <c r="G100" s="245"/>
    </row>
    <row r="101" spans="1:7">
      <c r="A101" s="245"/>
      <c r="B101" s="245"/>
      <c r="C101" s="245" t="s">
        <v>411</v>
      </c>
      <c r="D101" s="245"/>
      <c r="E101" s="245">
        <f>E63+E67+E66+E70+E71+E83+E93+E75+E68+E69+E72+E73+E74+'interest credit calculations'!C80</f>
        <v>68489.252571823759</v>
      </c>
      <c r="F101" s="245">
        <f>F63+F67+F66+F70+F71+F83+F93+F75+F68+F69+F72+F73+F74+'interest credit calculations'!D80</f>
        <v>-6948.054448085928</v>
      </c>
      <c r="G101" s="245"/>
    </row>
    <row r="102" spans="1:7">
      <c r="A102" s="245"/>
      <c r="B102" s="245"/>
      <c r="G102" s="245"/>
    </row>
    <row r="103" spans="1:7">
      <c r="E103" s="245"/>
      <c r="F103" s="247"/>
      <c r="G103" s="245"/>
    </row>
    <row r="104" spans="1:7">
      <c r="E104" s="245"/>
      <c r="F104" s="247"/>
      <c r="G104" s="245"/>
    </row>
    <row r="105" spans="1:7">
      <c r="B105" s="245"/>
      <c r="C105" s="245"/>
      <c r="D105" s="245"/>
      <c r="E105" s="245"/>
      <c r="F105" s="247"/>
      <c r="G105" s="245"/>
    </row>
    <row r="106" spans="1:7">
      <c r="E106" s="245"/>
      <c r="F106" s="247"/>
      <c r="G106" s="245"/>
    </row>
    <row r="107" spans="1:7">
      <c r="E107" s="245"/>
      <c r="F107" s="247"/>
      <c r="G107" s="245"/>
    </row>
    <row r="108" spans="1:7">
      <c r="E108" s="245"/>
      <c r="F108" s="247"/>
      <c r="G108" s="245"/>
    </row>
    <row r="109" spans="1:7">
      <c r="E109" s="245"/>
      <c r="F109" s="247"/>
      <c r="G109" s="245"/>
    </row>
    <row r="110" spans="1:7">
      <c r="E110" s="245"/>
      <c r="F110" s="247"/>
      <c r="G110" s="245"/>
    </row>
    <row r="111" spans="1:7">
      <c r="E111" s="245"/>
      <c r="F111" s="247"/>
      <c r="G111" s="245"/>
    </row>
    <row r="112" spans="1:7">
      <c r="E112" s="245"/>
      <c r="F112" s="247"/>
      <c r="G112" s="245"/>
    </row>
    <row r="113" spans="5:7">
      <c r="E113" s="245"/>
      <c r="F113" s="247"/>
      <c r="G113" s="245"/>
    </row>
    <row r="114" spans="5:7">
      <c r="E114" s="245"/>
      <c r="F114" s="247"/>
      <c r="G114" s="245"/>
    </row>
    <row r="115" spans="5:7">
      <c r="E115" s="245"/>
      <c r="F115" s="247"/>
      <c r="G115" s="245"/>
    </row>
    <row r="116" spans="5:7">
      <c r="E116" s="245"/>
      <c r="F116" s="247"/>
      <c r="G116" s="245"/>
    </row>
    <row r="117" spans="5:7">
      <c r="E117" s="245"/>
      <c r="F117" s="247"/>
      <c r="G117" s="245"/>
    </row>
    <row r="118" spans="5:7">
      <c r="E118" s="245"/>
      <c r="F118" s="247"/>
      <c r="G118" s="245"/>
    </row>
    <row r="119" spans="5:7">
      <c r="E119" s="245"/>
      <c r="F119" s="247"/>
      <c r="G119" s="245"/>
    </row>
    <row r="120" spans="5:7">
      <c r="E120" s="245"/>
      <c r="F120" s="247"/>
      <c r="G120" s="245"/>
    </row>
    <row r="121" spans="5:7">
      <c r="E121" s="245"/>
      <c r="F121" s="247"/>
      <c r="G121" s="245"/>
    </row>
    <row r="122" spans="5:7">
      <c r="E122" s="245"/>
      <c r="F122" s="247"/>
      <c r="G122" s="245"/>
    </row>
    <row r="123" spans="5:7">
      <c r="E123" s="245"/>
      <c r="F123" s="247"/>
      <c r="G123" s="245"/>
    </row>
    <row r="124" spans="5:7">
      <c r="E124" s="245"/>
      <c r="F124" s="247"/>
      <c r="G124" s="245"/>
    </row>
    <row r="125" spans="5:7">
      <c r="E125" s="245"/>
      <c r="F125" s="247"/>
      <c r="G125" s="245"/>
    </row>
    <row r="126" spans="5:7">
      <c r="E126" s="245"/>
      <c r="F126" s="247"/>
      <c r="G126" s="245"/>
    </row>
    <row r="127" spans="5:7">
      <c r="E127" s="245"/>
      <c r="F127" s="247"/>
      <c r="G127" s="245"/>
    </row>
    <row r="128" spans="5:7">
      <c r="E128" s="245"/>
      <c r="F128" s="247"/>
      <c r="G128" s="245"/>
    </row>
    <row r="129" spans="5:7">
      <c r="E129" s="245"/>
      <c r="F129" s="247"/>
      <c r="G129" s="245"/>
    </row>
    <row r="130" spans="5:7">
      <c r="E130" s="245"/>
      <c r="F130" s="247"/>
      <c r="G130" s="245"/>
    </row>
    <row r="131" spans="5:7">
      <c r="E131" s="245"/>
      <c r="F131" s="247"/>
      <c r="G131" s="245"/>
    </row>
    <row r="132" spans="5:7">
      <c r="E132" s="245"/>
      <c r="F132" s="247"/>
      <c r="G132" s="245"/>
    </row>
    <row r="133" spans="5:7">
      <c r="E133" s="245"/>
      <c r="F133" s="247"/>
      <c r="G133" s="245"/>
    </row>
    <row r="134" spans="5:7">
      <c r="E134" s="245"/>
      <c r="F134" s="247"/>
      <c r="G134" s="245"/>
    </row>
    <row r="135" spans="5:7">
      <c r="E135" s="245"/>
      <c r="F135" s="247"/>
      <c r="G135" s="245"/>
    </row>
    <row r="136" spans="5:7">
      <c r="E136" s="245"/>
      <c r="F136" s="247"/>
      <c r="G136" s="245"/>
    </row>
    <row r="137" spans="5:7">
      <c r="E137" s="245"/>
      <c r="F137" s="247"/>
      <c r="G137" s="245"/>
    </row>
    <row r="138" spans="5:7">
      <c r="E138" s="245"/>
      <c r="F138" s="247"/>
      <c r="G138" s="245"/>
    </row>
    <row r="139" spans="5:7">
      <c r="E139" s="245"/>
      <c r="F139" s="247"/>
      <c r="G139" s="245"/>
    </row>
    <row r="140" spans="5:7">
      <c r="E140" s="245"/>
      <c r="F140" s="247"/>
      <c r="G140" s="245"/>
    </row>
    <row r="141" spans="5:7">
      <c r="E141" s="245"/>
      <c r="F141" s="247"/>
      <c r="G141" s="245"/>
    </row>
    <row r="142" spans="5:7">
      <c r="E142" s="245"/>
      <c r="F142" s="247"/>
      <c r="G142" s="245"/>
    </row>
    <row r="143" spans="5:7">
      <c r="E143" s="245"/>
      <c r="F143" s="247"/>
      <c r="G143" s="245"/>
    </row>
    <row r="144" spans="5:7">
      <c r="E144" s="245"/>
      <c r="F144" s="247"/>
      <c r="G144" s="245"/>
    </row>
    <row r="145" spans="5:7">
      <c r="E145" s="245"/>
      <c r="F145" s="247"/>
      <c r="G145" s="245"/>
    </row>
    <row r="146" spans="5:7">
      <c r="E146" s="245"/>
      <c r="F146" s="247"/>
      <c r="G146" s="245"/>
    </row>
    <row r="147" spans="5:7">
      <c r="E147" s="245"/>
      <c r="F147" s="247"/>
      <c r="G147" s="245"/>
    </row>
    <row r="148" spans="5:7">
      <c r="E148" s="245"/>
      <c r="F148" s="247"/>
      <c r="G148" s="245"/>
    </row>
    <row r="149" spans="5:7">
      <c r="E149" s="245"/>
      <c r="F149" s="247"/>
      <c r="G149" s="245"/>
    </row>
    <row r="150" spans="5:7">
      <c r="E150" s="245"/>
      <c r="F150" s="247"/>
      <c r="G150" s="245"/>
    </row>
    <row r="151" spans="5:7">
      <c r="E151" s="245"/>
      <c r="F151" s="247"/>
      <c r="G151" s="245"/>
    </row>
    <row r="152" spans="5:7">
      <c r="E152" s="245"/>
      <c r="F152" s="247"/>
      <c r="G152" s="245"/>
    </row>
    <row r="153" spans="5:7">
      <c r="E153" s="245"/>
      <c r="F153" s="247"/>
      <c r="G153" s="245"/>
    </row>
    <row r="154" spans="5:7">
      <c r="E154" s="245"/>
      <c r="F154" s="247"/>
      <c r="G154" s="245"/>
    </row>
  </sheetData>
  <mergeCells count="6">
    <mergeCell ref="A58:F58"/>
    <mergeCell ref="A1:F1"/>
    <mergeCell ref="A2:F2"/>
    <mergeCell ref="A3:F3"/>
    <mergeCell ref="A56:F56"/>
    <mergeCell ref="A57:F5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39997558519241921"/>
  </sheetPr>
  <dimension ref="A1:AK137"/>
  <sheetViews>
    <sheetView zoomScale="50" zoomScaleNormal="50" workbookViewId="0">
      <selection activeCell="P129" sqref="P129"/>
    </sheetView>
  </sheetViews>
  <sheetFormatPr defaultColWidth="11" defaultRowHeight="12.75"/>
  <cols>
    <col min="1" max="1" width="5.28515625" style="269" customWidth="1"/>
    <col min="2" max="2" width="17" style="245" customWidth="1"/>
    <col min="3" max="4" width="17.7109375" style="245" customWidth="1"/>
    <col min="5" max="5" width="18.7109375" style="245" customWidth="1"/>
    <col min="6" max="6" width="18.7109375" style="247" customWidth="1"/>
    <col min="7" max="7" width="19" style="245" customWidth="1"/>
    <col min="8" max="8" width="17.42578125" style="245" customWidth="1"/>
    <col min="9" max="9" width="16.7109375" style="245" customWidth="1"/>
    <col min="10" max="10" width="18.85546875" style="245" customWidth="1"/>
    <col min="11" max="11" width="22.140625" style="245" customWidth="1"/>
    <col min="12" max="12" width="22" style="253" customWidth="1"/>
    <col min="13" max="13" width="19" style="253" customWidth="1"/>
    <col min="14" max="14" width="14.140625" style="253" customWidth="1"/>
    <col min="15" max="15" width="36.7109375" style="253" bestFit="1" customWidth="1"/>
    <col min="16" max="17" width="25" style="253" customWidth="1"/>
    <col min="18" max="18" width="1.85546875" style="245" customWidth="1"/>
    <col min="19" max="19" width="17.85546875" style="245" customWidth="1"/>
    <col min="20" max="20" width="1.85546875" style="245" customWidth="1"/>
    <col min="21" max="21" width="19" style="245" customWidth="1"/>
    <col min="22" max="22" width="1.85546875" style="245" customWidth="1"/>
    <col min="23" max="23" width="16.7109375" style="245" customWidth="1"/>
    <col min="24" max="24" width="1.85546875" style="245" customWidth="1"/>
    <col min="25" max="25" width="16.7109375" style="245" customWidth="1"/>
    <col min="26" max="26" width="1.85546875" style="245" customWidth="1"/>
    <col min="27" max="27" width="16.7109375" style="245" customWidth="1"/>
    <col min="28" max="28" width="1.85546875" style="245" customWidth="1"/>
    <col min="29" max="29" width="16.7109375" style="245" customWidth="1"/>
    <col min="30" max="30" width="1.85546875" style="245" customWidth="1"/>
    <col min="31" max="31" width="17.85546875" style="245" customWidth="1"/>
    <col min="32" max="32" width="5.28515625" style="245" customWidth="1"/>
    <col min="33" max="33" width="16.7109375" style="245" customWidth="1"/>
    <col min="34" max="34" width="5.28515625" style="245" customWidth="1"/>
    <col min="35" max="35" width="14.42578125" style="245" customWidth="1"/>
    <col min="36" max="36" width="1.85546875" style="245" customWidth="1"/>
    <col min="37" max="37" width="16.7109375" style="245" customWidth="1"/>
    <col min="38" max="247" width="11" style="245"/>
    <col min="248" max="248" width="7.5703125" style="245" customWidth="1"/>
    <col min="249" max="249" width="15.5703125" style="245" customWidth="1"/>
    <col min="250" max="250" width="20.140625" style="245" customWidth="1"/>
    <col min="251" max="251" width="2.28515625" style="245" customWidth="1"/>
    <col min="252" max="252" width="17.42578125" style="245" customWidth="1"/>
    <col min="253" max="253" width="1.85546875" style="245" customWidth="1"/>
    <col min="254" max="254" width="18.7109375" style="245" customWidth="1"/>
    <col min="255" max="255" width="1.85546875" style="245" customWidth="1"/>
    <col min="256" max="256" width="23" style="245" customWidth="1"/>
    <col min="257" max="257" width="1.85546875" style="245" customWidth="1"/>
    <col min="258" max="258" width="17.42578125" style="245" customWidth="1"/>
    <col min="259" max="259" width="3" style="245" customWidth="1"/>
    <col min="260" max="260" width="16.28515625" style="245" customWidth="1"/>
    <col min="261" max="261" width="3" style="245" customWidth="1"/>
    <col min="262" max="262" width="14.140625" style="245" customWidth="1"/>
    <col min="263" max="263" width="2" style="245" customWidth="1"/>
    <col min="264" max="264" width="15.85546875" style="245" customWidth="1"/>
    <col min="265" max="265" width="3.140625" style="245" customWidth="1"/>
    <col min="266" max="266" width="17.85546875" style="245" customWidth="1"/>
    <col min="267" max="267" width="2.5703125" style="245" customWidth="1"/>
    <col min="268" max="268" width="15.5703125" style="245" customWidth="1"/>
    <col min="269" max="269" width="1.85546875" style="245" customWidth="1"/>
    <col min="270" max="270" width="14.140625" style="245" customWidth="1"/>
    <col min="271" max="271" width="11" style="245" customWidth="1"/>
    <col min="272" max="273" width="25" style="245" customWidth="1"/>
    <col min="274" max="274" width="1.85546875" style="245" customWidth="1"/>
    <col min="275" max="275" width="17.85546875" style="245" customWidth="1"/>
    <col min="276" max="276" width="1.85546875" style="245" customWidth="1"/>
    <col min="277" max="277" width="19" style="245" customWidth="1"/>
    <col min="278" max="278" width="1.85546875" style="245" customWidth="1"/>
    <col min="279" max="279" width="16.7109375" style="245" customWidth="1"/>
    <col min="280" max="280" width="1.85546875" style="245" customWidth="1"/>
    <col min="281" max="281" width="16.7109375" style="245" customWidth="1"/>
    <col min="282" max="282" width="1.85546875" style="245" customWidth="1"/>
    <col min="283" max="283" width="16.7109375" style="245" customWidth="1"/>
    <col min="284" max="284" width="1.85546875" style="245" customWidth="1"/>
    <col min="285" max="285" width="16.7109375" style="245" customWidth="1"/>
    <col min="286" max="286" width="1.85546875" style="245" customWidth="1"/>
    <col min="287" max="287" width="17.85546875" style="245" customWidth="1"/>
    <col min="288" max="288" width="5.28515625" style="245" customWidth="1"/>
    <col min="289" max="289" width="16.7109375" style="245" customWidth="1"/>
    <col min="290" max="290" width="5.28515625" style="245" customWidth="1"/>
    <col min="291" max="291" width="14.42578125" style="245" customWidth="1"/>
    <col min="292" max="292" width="1.85546875" style="245" customWidth="1"/>
    <col min="293" max="293" width="16.7109375" style="245" customWidth="1"/>
    <col min="294" max="503" width="11" style="245"/>
    <col min="504" max="504" width="7.5703125" style="245" customWidth="1"/>
    <col min="505" max="505" width="15.5703125" style="245" customWidth="1"/>
    <col min="506" max="506" width="20.140625" style="245" customWidth="1"/>
    <col min="507" max="507" width="2.28515625" style="245" customWidth="1"/>
    <col min="508" max="508" width="17.42578125" style="245" customWidth="1"/>
    <col min="509" max="509" width="1.85546875" style="245" customWidth="1"/>
    <col min="510" max="510" width="18.7109375" style="245" customWidth="1"/>
    <col min="511" max="511" width="1.85546875" style="245" customWidth="1"/>
    <col min="512" max="512" width="23" style="245" customWidth="1"/>
    <col min="513" max="513" width="1.85546875" style="245" customWidth="1"/>
    <col min="514" max="514" width="17.42578125" style="245" customWidth="1"/>
    <col min="515" max="515" width="3" style="245" customWidth="1"/>
    <col min="516" max="516" width="16.28515625" style="245" customWidth="1"/>
    <col min="517" max="517" width="3" style="245" customWidth="1"/>
    <col min="518" max="518" width="14.140625" style="245" customWidth="1"/>
    <col min="519" max="519" width="2" style="245" customWidth="1"/>
    <col min="520" max="520" width="15.85546875" style="245" customWidth="1"/>
    <col min="521" max="521" width="3.140625" style="245" customWidth="1"/>
    <col min="522" max="522" width="17.85546875" style="245" customWidth="1"/>
    <col min="523" max="523" width="2.5703125" style="245" customWidth="1"/>
    <col min="524" max="524" width="15.5703125" style="245" customWidth="1"/>
    <col min="525" max="525" width="1.85546875" style="245" customWidth="1"/>
    <col min="526" max="526" width="14.140625" style="245" customWidth="1"/>
    <col min="527" max="527" width="11" style="245" customWidth="1"/>
    <col min="528" max="529" width="25" style="245" customWidth="1"/>
    <col min="530" max="530" width="1.85546875" style="245" customWidth="1"/>
    <col min="531" max="531" width="17.85546875" style="245" customWidth="1"/>
    <col min="532" max="532" width="1.85546875" style="245" customWidth="1"/>
    <col min="533" max="533" width="19" style="245" customWidth="1"/>
    <col min="534" max="534" width="1.85546875" style="245" customWidth="1"/>
    <col min="535" max="535" width="16.7109375" style="245" customWidth="1"/>
    <col min="536" max="536" width="1.85546875" style="245" customWidth="1"/>
    <col min="537" max="537" width="16.7109375" style="245" customWidth="1"/>
    <col min="538" max="538" width="1.85546875" style="245" customWidth="1"/>
    <col min="539" max="539" width="16.7109375" style="245" customWidth="1"/>
    <col min="540" max="540" width="1.85546875" style="245" customWidth="1"/>
    <col min="541" max="541" width="16.7109375" style="245" customWidth="1"/>
    <col min="542" max="542" width="1.85546875" style="245" customWidth="1"/>
    <col min="543" max="543" width="17.85546875" style="245" customWidth="1"/>
    <col min="544" max="544" width="5.28515625" style="245" customWidth="1"/>
    <col min="545" max="545" width="16.7109375" style="245" customWidth="1"/>
    <col min="546" max="546" width="5.28515625" style="245" customWidth="1"/>
    <col min="547" max="547" width="14.42578125" style="245" customWidth="1"/>
    <col min="548" max="548" width="1.85546875" style="245" customWidth="1"/>
    <col min="549" max="549" width="16.7109375" style="245" customWidth="1"/>
    <col min="550" max="759" width="11" style="245"/>
    <col min="760" max="760" width="7.5703125" style="245" customWidth="1"/>
    <col min="761" max="761" width="15.5703125" style="245" customWidth="1"/>
    <col min="762" max="762" width="20.140625" style="245" customWidth="1"/>
    <col min="763" max="763" width="2.28515625" style="245" customWidth="1"/>
    <col min="764" max="764" width="17.42578125" style="245" customWidth="1"/>
    <col min="765" max="765" width="1.85546875" style="245" customWidth="1"/>
    <col min="766" max="766" width="18.7109375" style="245" customWidth="1"/>
    <col min="767" max="767" width="1.85546875" style="245" customWidth="1"/>
    <col min="768" max="768" width="23" style="245" customWidth="1"/>
    <col min="769" max="769" width="1.85546875" style="245" customWidth="1"/>
    <col min="770" max="770" width="17.42578125" style="245" customWidth="1"/>
    <col min="771" max="771" width="3" style="245" customWidth="1"/>
    <col min="772" max="772" width="16.28515625" style="245" customWidth="1"/>
    <col min="773" max="773" width="3" style="245" customWidth="1"/>
    <col min="774" max="774" width="14.140625" style="245" customWidth="1"/>
    <col min="775" max="775" width="2" style="245" customWidth="1"/>
    <col min="776" max="776" width="15.85546875" style="245" customWidth="1"/>
    <col min="777" max="777" width="3.140625" style="245" customWidth="1"/>
    <col min="778" max="778" width="17.85546875" style="245" customWidth="1"/>
    <col min="779" max="779" width="2.5703125" style="245" customWidth="1"/>
    <col min="780" max="780" width="15.5703125" style="245" customWidth="1"/>
    <col min="781" max="781" width="1.85546875" style="245" customWidth="1"/>
    <col min="782" max="782" width="14.140625" style="245" customWidth="1"/>
    <col min="783" max="783" width="11" style="245" customWidth="1"/>
    <col min="784" max="785" width="25" style="245" customWidth="1"/>
    <col min="786" max="786" width="1.85546875" style="245" customWidth="1"/>
    <col min="787" max="787" width="17.85546875" style="245" customWidth="1"/>
    <col min="788" max="788" width="1.85546875" style="245" customWidth="1"/>
    <col min="789" max="789" width="19" style="245" customWidth="1"/>
    <col min="790" max="790" width="1.85546875" style="245" customWidth="1"/>
    <col min="791" max="791" width="16.7109375" style="245" customWidth="1"/>
    <col min="792" max="792" width="1.85546875" style="245" customWidth="1"/>
    <col min="793" max="793" width="16.7109375" style="245" customWidth="1"/>
    <col min="794" max="794" width="1.85546875" style="245" customWidth="1"/>
    <col min="795" max="795" width="16.7109375" style="245" customWidth="1"/>
    <col min="796" max="796" width="1.85546875" style="245" customWidth="1"/>
    <col min="797" max="797" width="16.7109375" style="245" customWidth="1"/>
    <col min="798" max="798" width="1.85546875" style="245" customWidth="1"/>
    <col min="799" max="799" width="17.85546875" style="245" customWidth="1"/>
    <col min="800" max="800" width="5.28515625" style="245" customWidth="1"/>
    <col min="801" max="801" width="16.7109375" style="245" customWidth="1"/>
    <col min="802" max="802" width="5.28515625" style="245" customWidth="1"/>
    <col min="803" max="803" width="14.42578125" style="245" customWidth="1"/>
    <col min="804" max="804" width="1.85546875" style="245" customWidth="1"/>
    <col min="805" max="805" width="16.7109375" style="245" customWidth="1"/>
    <col min="806" max="1015" width="11" style="245"/>
    <col min="1016" max="1016" width="7.5703125" style="245" customWidth="1"/>
    <col min="1017" max="1017" width="15.5703125" style="245" customWidth="1"/>
    <col min="1018" max="1018" width="20.140625" style="245" customWidth="1"/>
    <col min="1019" max="1019" width="2.28515625" style="245" customWidth="1"/>
    <col min="1020" max="1020" width="17.42578125" style="245" customWidth="1"/>
    <col min="1021" max="1021" width="1.85546875" style="245" customWidth="1"/>
    <col min="1022" max="1022" width="18.7109375" style="245" customWidth="1"/>
    <col min="1023" max="1023" width="1.85546875" style="245" customWidth="1"/>
    <col min="1024" max="1024" width="23" style="245" customWidth="1"/>
    <col min="1025" max="1025" width="1.85546875" style="245" customWidth="1"/>
    <col min="1026" max="1026" width="17.42578125" style="245" customWidth="1"/>
    <col min="1027" max="1027" width="3" style="245" customWidth="1"/>
    <col min="1028" max="1028" width="16.28515625" style="245" customWidth="1"/>
    <col min="1029" max="1029" width="3" style="245" customWidth="1"/>
    <col min="1030" max="1030" width="14.140625" style="245" customWidth="1"/>
    <col min="1031" max="1031" width="2" style="245" customWidth="1"/>
    <col min="1032" max="1032" width="15.85546875" style="245" customWidth="1"/>
    <col min="1033" max="1033" width="3.140625" style="245" customWidth="1"/>
    <col min="1034" max="1034" width="17.85546875" style="245" customWidth="1"/>
    <col min="1035" max="1035" width="2.5703125" style="245" customWidth="1"/>
    <col min="1036" max="1036" width="15.5703125" style="245" customWidth="1"/>
    <col min="1037" max="1037" width="1.85546875" style="245" customWidth="1"/>
    <col min="1038" max="1038" width="14.140625" style="245" customWidth="1"/>
    <col min="1039" max="1039" width="11" style="245" customWidth="1"/>
    <col min="1040" max="1041" width="25" style="245" customWidth="1"/>
    <col min="1042" max="1042" width="1.85546875" style="245" customWidth="1"/>
    <col min="1043" max="1043" width="17.85546875" style="245" customWidth="1"/>
    <col min="1044" max="1044" width="1.85546875" style="245" customWidth="1"/>
    <col min="1045" max="1045" width="19" style="245" customWidth="1"/>
    <col min="1046" max="1046" width="1.85546875" style="245" customWidth="1"/>
    <col min="1047" max="1047" width="16.7109375" style="245" customWidth="1"/>
    <col min="1048" max="1048" width="1.85546875" style="245" customWidth="1"/>
    <col min="1049" max="1049" width="16.7109375" style="245" customWidth="1"/>
    <col min="1050" max="1050" width="1.85546875" style="245" customWidth="1"/>
    <col min="1051" max="1051" width="16.7109375" style="245" customWidth="1"/>
    <col min="1052" max="1052" width="1.85546875" style="245" customWidth="1"/>
    <col min="1053" max="1053" width="16.7109375" style="245" customWidth="1"/>
    <col min="1054" max="1054" width="1.85546875" style="245" customWidth="1"/>
    <col min="1055" max="1055" width="17.85546875" style="245" customWidth="1"/>
    <col min="1056" max="1056" width="5.28515625" style="245" customWidth="1"/>
    <col min="1057" max="1057" width="16.7109375" style="245" customWidth="1"/>
    <col min="1058" max="1058" width="5.28515625" style="245" customWidth="1"/>
    <col min="1059" max="1059" width="14.42578125" style="245" customWidth="1"/>
    <col min="1060" max="1060" width="1.85546875" style="245" customWidth="1"/>
    <col min="1061" max="1061" width="16.7109375" style="245" customWidth="1"/>
    <col min="1062" max="1271" width="11" style="245"/>
    <col min="1272" max="1272" width="7.5703125" style="245" customWidth="1"/>
    <col min="1273" max="1273" width="15.5703125" style="245" customWidth="1"/>
    <col min="1274" max="1274" width="20.140625" style="245" customWidth="1"/>
    <col min="1275" max="1275" width="2.28515625" style="245" customWidth="1"/>
    <col min="1276" max="1276" width="17.42578125" style="245" customWidth="1"/>
    <col min="1277" max="1277" width="1.85546875" style="245" customWidth="1"/>
    <col min="1278" max="1278" width="18.7109375" style="245" customWidth="1"/>
    <col min="1279" max="1279" width="1.85546875" style="245" customWidth="1"/>
    <col min="1280" max="1280" width="23" style="245" customWidth="1"/>
    <col min="1281" max="1281" width="1.85546875" style="245" customWidth="1"/>
    <col min="1282" max="1282" width="17.42578125" style="245" customWidth="1"/>
    <col min="1283" max="1283" width="3" style="245" customWidth="1"/>
    <col min="1284" max="1284" width="16.28515625" style="245" customWidth="1"/>
    <col min="1285" max="1285" width="3" style="245" customWidth="1"/>
    <col min="1286" max="1286" width="14.140625" style="245" customWidth="1"/>
    <col min="1287" max="1287" width="2" style="245" customWidth="1"/>
    <col min="1288" max="1288" width="15.85546875" style="245" customWidth="1"/>
    <col min="1289" max="1289" width="3.140625" style="245" customWidth="1"/>
    <col min="1290" max="1290" width="17.85546875" style="245" customWidth="1"/>
    <col min="1291" max="1291" width="2.5703125" style="245" customWidth="1"/>
    <col min="1292" max="1292" width="15.5703125" style="245" customWidth="1"/>
    <col min="1293" max="1293" width="1.85546875" style="245" customWidth="1"/>
    <col min="1294" max="1294" width="14.140625" style="245" customWidth="1"/>
    <col min="1295" max="1295" width="11" style="245" customWidth="1"/>
    <col min="1296" max="1297" width="25" style="245" customWidth="1"/>
    <col min="1298" max="1298" width="1.85546875" style="245" customWidth="1"/>
    <col min="1299" max="1299" width="17.85546875" style="245" customWidth="1"/>
    <col min="1300" max="1300" width="1.85546875" style="245" customWidth="1"/>
    <col min="1301" max="1301" width="19" style="245" customWidth="1"/>
    <col min="1302" max="1302" width="1.85546875" style="245" customWidth="1"/>
    <col min="1303" max="1303" width="16.7109375" style="245" customWidth="1"/>
    <col min="1304" max="1304" width="1.85546875" style="245" customWidth="1"/>
    <col min="1305" max="1305" width="16.7109375" style="245" customWidth="1"/>
    <col min="1306" max="1306" width="1.85546875" style="245" customWidth="1"/>
    <col min="1307" max="1307" width="16.7109375" style="245" customWidth="1"/>
    <col min="1308" max="1308" width="1.85546875" style="245" customWidth="1"/>
    <col min="1309" max="1309" width="16.7109375" style="245" customWidth="1"/>
    <col min="1310" max="1310" width="1.85546875" style="245" customWidth="1"/>
    <col min="1311" max="1311" width="17.85546875" style="245" customWidth="1"/>
    <col min="1312" max="1312" width="5.28515625" style="245" customWidth="1"/>
    <col min="1313" max="1313" width="16.7109375" style="245" customWidth="1"/>
    <col min="1314" max="1314" width="5.28515625" style="245" customWidth="1"/>
    <col min="1315" max="1315" width="14.42578125" style="245" customWidth="1"/>
    <col min="1316" max="1316" width="1.85546875" style="245" customWidth="1"/>
    <col min="1317" max="1317" width="16.7109375" style="245" customWidth="1"/>
    <col min="1318" max="1527" width="11" style="245"/>
    <col min="1528" max="1528" width="7.5703125" style="245" customWidth="1"/>
    <col min="1529" max="1529" width="15.5703125" style="245" customWidth="1"/>
    <col min="1530" max="1530" width="20.140625" style="245" customWidth="1"/>
    <col min="1531" max="1531" width="2.28515625" style="245" customWidth="1"/>
    <col min="1532" max="1532" width="17.42578125" style="245" customWidth="1"/>
    <col min="1533" max="1533" width="1.85546875" style="245" customWidth="1"/>
    <col min="1534" max="1534" width="18.7109375" style="245" customWidth="1"/>
    <col min="1535" max="1535" width="1.85546875" style="245" customWidth="1"/>
    <col min="1536" max="1536" width="23" style="245" customWidth="1"/>
    <col min="1537" max="1537" width="1.85546875" style="245" customWidth="1"/>
    <col min="1538" max="1538" width="17.42578125" style="245" customWidth="1"/>
    <col min="1539" max="1539" width="3" style="245" customWidth="1"/>
    <col min="1540" max="1540" width="16.28515625" style="245" customWidth="1"/>
    <col min="1541" max="1541" width="3" style="245" customWidth="1"/>
    <col min="1542" max="1542" width="14.140625" style="245" customWidth="1"/>
    <col min="1543" max="1543" width="2" style="245" customWidth="1"/>
    <col min="1544" max="1544" width="15.85546875" style="245" customWidth="1"/>
    <col min="1545" max="1545" width="3.140625" style="245" customWidth="1"/>
    <col min="1546" max="1546" width="17.85546875" style="245" customWidth="1"/>
    <col min="1547" max="1547" width="2.5703125" style="245" customWidth="1"/>
    <col min="1548" max="1548" width="15.5703125" style="245" customWidth="1"/>
    <col min="1549" max="1549" width="1.85546875" style="245" customWidth="1"/>
    <col min="1550" max="1550" width="14.140625" style="245" customWidth="1"/>
    <col min="1551" max="1551" width="11" style="245" customWidth="1"/>
    <col min="1552" max="1553" width="25" style="245" customWidth="1"/>
    <col min="1554" max="1554" width="1.85546875" style="245" customWidth="1"/>
    <col min="1555" max="1555" width="17.85546875" style="245" customWidth="1"/>
    <col min="1556" max="1556" width="1.85546875" style="245" customWidth="1"/>
    <col min="1557" max="1557" width="19" style="245" customWidth="1"/>
    <col min="1558" max="1558" width="1.85546875" style="245" customWidth="1"/>
    <col min="1559" max="1559" width="16.7109375" style="245" customWidth="1"/>
    <col min="1560" max="1560" width="1.85546875" style="245" customWidth="1"/>
    <col min="1561" max="1561" width="16.7109375" style="245" customWidth="1"/>
    <col min="1562" max="1562" width="1.85546875" style="245" customWidth="1"/>
    <col min="1563" max="1563" width="16.7109375" style="245" customWidth="1"/>
    <col min="1564" max="1564" width="1.85546875" style="245" customWidth="1"/>
    <col min="1565" max="1565" width="16.7109375" style="245" customWidth="1"/>
    <col min="1566" max="1566" width="1.85546875" style="245" customWidth="1"/>
    <col min="1567" max="1567" width="17.85546875" style="245" customWidth="1"/>
    <col min="1568" max="1568" width="5.28515625" style="245" customWidth="1"/>
    <col min="1569" max="1569" width="16.7109375" style="245" customWidth="1"/>
    <col min="1570" max="1570" width="5.28515625" style="245" customWidth="1"/>
    <col min="1571" max="1571" width="14.42578125" style="245" customWidth="1"/>
    <col min="1572" max="1572" width="1.85546875" style="245" customWidth="1"/>
    <col min="1573" max="1573" width="16.7109375" style="245" customWidth="1"/>
    <col min="1574" max="1783" width="11" style="245"/>
    <col min="1784" max="1784" width="7.5703125" style="245" customWidth="1"/>
    <col min="1785" max="1785" width="15.5703125" style="245" customWidth="1"/>
    <col min="1786" max="1786" width="20.140625" style="245" customWidth="1"/>
    <col min="1787" max="1787" width="2.28515625" style="245" customWidth="1"/>
    <col min="1788" max="1788" width="17.42578125" style="245" customWidth="1"/>
    <col min="1789" max="1789" width="1.85546875" style="245" customWidth="1"/>
    <col min="1790" max="1790" width="18.7109375" style="245" customWidth="1"/>
    <col min="1791" max="1791" width="1.85546875" style="245" customWidth="1"/>
    <col min="1792" max="1792" width="23" style="245" customWidth="1"/>
    <col min="1793" max="1793" width="1.85546875" style="245" customWidth="1"/>
    <col min="1794" max="1794" width="17.42578125" style="245" customWidth="1"/>
    <col min="1795" max="1795" width="3" style="245" customWidth="1"/>
    <col min="1796" max="1796" width="16.28515625" style="245" customWidth="1"/>
    <col min="1797" max="1797" width="3" style="245" customWidth="1"/>
    <col min="1798" max="1798" width="14.140625" style="245" customWidth="1"/>
    <col min="1799" max="1799" width="2" style="245" customWidth="1"/>
    <col min="1800" max="1800" width="15.85546875" style="245" customWidth="1"/>
    <col min="1801" max="1801" width="3.140625" style="245" customWidth="1"/>
    <col min="1802" max="1802" width="17.85546875" style="245" customWidth="1"/>
    <col min="1803" max="1803" width="2.5703125" style="245" customWidth="1"/>
    <col min="1804" max="1804" width="15.5703125" style="245" customWidth="1"/>
    <col min="1805" max="1805" width="1.85546875" style="245" customWidth="1"/>
    <col min="1806" max="1806" width="14.140625" style="245" customWidth="1"/>
    <col min="1807" max="1807" width="11" style="245" customWidth="1"/>
    <col min="1808" max="1809" width="25" style="245" customWidth="1"/>
    <col min="1810" max="1810" width="1.85546875" style="245" customWidth="1"/>
    <col min="1811" max="1811" width="17.85546875" style="245" customWidth="1"/>
    <col min="1812" max="1812" width="1.85546875" style="245" customWidth="1"/>
    <col min="1813" max="1813" width="19" style="245" customWidth="1"/>
    <col min="1814" max="1814" width="1.85546875" style="245" customWidth="1"/>
    <col min="1815" max="1815" width="16.7109375" style="245" customWidth="1"/>
    <col min="1816" max="1816" width="1.85546875" style="245" customWidth="1"/>
    <col min="1817" max="1817" width="16.7109375" style="245" customWidth="1"/>
    <col min="1818" max="1818" width="1.85546875" style="245" customWidth="1"/>
    <col min="1819" max="1819" width="16.7109375" style="245" customWidth="1"/>
    <col min="1820" max="1820" width="1.85546875" style="245" customWidth="1"/>
    <col min="1821" max="1821" width="16.7109375" style="245" customWidth="1"/>
    <col min="1822" max="1822" width="1.85546875" style="245" customWidth="1"/>
    <col min="1823" max="1823" width="17.85546875" style="245" customWidth="1"/>
    <col min="1824" max="1824" width="5.28515625" style="245" customWidth="1"/>
    <col min="1825" max="1825" width="16.7109375" style="245" customWidth="1"/>
    <col min="1826" max="1826" width="5.28515625" style="245" customWidth="1"/>
    <col min="1827" max="1827" width="14.42578125" style="245" customWidth="1"/>
    <col min="1828" max="1828" width="1.85546875" style="245" customWidth="1"/>
    <col min="1829" max="1829" width="16.7109375" style="245" customWidth="1"/>
    <col min="1830" max="2039" width="11" style="245"/>
    <col min="2040" max="2040" width="7.5703125" style="245" customWidth="1"/>
    <col min="2041" max="2041" width="15.5703125" style="245" customWidth="1"/>
    <col min="2042" max="2042" width="20.140625" style="245" customWidth="1"/>
    <col min="2043" max="2043" width="2.28515625" style="245" customWidth="1"/>
    <col min="2044" max="2044" width="17.42578125" style="245" customWidth="1"/>
    <col min="2045" max="2045" width="1.85546875" style="245" customWidth="1"/>
    <col min="2046" max="2046" width="18.7109375" style="245" customWidth="1"/>
    <col min="2047" max="2047" width="1.85546875" style="245" customWidth="1"/>
    <col min="2048" max="2048" width="23" style="245" customWidth="1"/>
    <col min="2049" max="2049" width="1.85546875" style="245" customWidth="1"/>
    <col min="2050" max="2050" width="17.42578125" style="245" customWidth="1"/>
    <col min="2051" max="2051" width="3" style="245" customWidth="1"/>
    <col min="2052" max="2052" width="16.28515625" style="245" customWidth="1"/>
    <col min="2053" max="2053" width="3" style="245" customWidth="1"/>
    <col min="2054" max="2054" width="14.140625" style="245" customWidth="1"/>
    <col min="2055" max="2055" width="2" style="245" customWidth="1"/>
    <col min="2056" max="2056" width="15.85546875" style="245" customWidth="1"/>
    <col min="2057" max="2057" width="3.140625" style="245" customWidth="1"/>
    <col min="2058" max="2058" width="17.85546875" style="245" customWidth="1"/>
    <col min="2059" max="2059" width="2.5703125" style="245" customWidth="1"/>
    <col min="2060" max="2060" width="15.5703125" style="245" customWidth="1"/>
    <col min="2061" max="2061" width="1.85546875" style="245" customWidth="1"/>
    <col min="2062" max="2062" width="14.140625" style="245" customWidth="1"/>
    <col min="2063" max="2063" width="11" style="245" customWidth="1"/>
    <col min="2064" max="2065" width="25" style="245" customWidth="1"/>
    <col min="2066" max="2066" width="1.85546875" style="245" customWidth="1"/>
    <col min="2067" max="2067" width="17.85546875" style="245" customWidth="1"/>
    <col min="2068" max="2068" width="1.85546875" style="245" customWidth="1"/>
    <col min="2069" max="2069" width="19" style="245" customWidth="1"/>
    <col min="2070" max="2070" width="1.85546875" style="245" customWidth="1"/>
    <col min="2071" max="2071" width="16.7109375" style="245" customWidth="1"/>
    <col min="2072" max="2072" width="1.85546875" style="245" customWidth="1"/>
    <col min="2073" max="2073" width="16.7109375" style="245" customWidth="1"/>
    <col min="2074" max="2074" width="1.85546875" style="245" customWidth="1"/>
    <col min="2075" max="2075" width="16.7109375" style="245" customWidth="1"/>
    <col min="2076" max="2076" width="1.85546875" style="245" customWidth="1"/>
    <col min="2077" max="2077" width="16.7109375" style="245" customWidth="1"/>
    <col min="2078" max="2078" width="1.85546875" style="245" customWidth="1"/>
    <col min="2079" max="2079" width="17.85546875" style="245" customWidth="1"/>
    <col min="2080" max="2080" width="5.28515625" style="245" customWidth="1"/>
    <col min="2081" max="2081" width="16.7109375" style="245" customWidth="1"/>
    <col min="2082" max="2082" width="5.28515625" style="245" customWidth="1"/>
    <col min="2083" max="2083" width="14.42578125" style="245" customWidth="1"/>
    <col min="2084" max="2084" width="1.85546875" style="245" customWidth="1"/>
    <col min="2085" max="2085" width="16.7109375" style="245" customWidth="1"/>
    <col min="2086" max="2295" width="11" style="245"/>
    <col min="2296" max="2296" width="7.5703125" style="245" customWidth="1"/>
    <col min="2297" max="2297" width="15.5703125" style="245" customWidth="1"/>
    <col min="2298" max="2298" width="20.140625" style="245" customWidth="1"/>
    <col min="2299" max="2299" width="2.28515625" style="245" customWidth="1"/>
    <col min="2300" max="2300" width="17.42578125" style="245" customWidth="1"/>
    <col min="2301" max="2301" width="1.85546875" style="245" customWidth="1"/>
    <col min="2302" max="2302" width="18.7109375" style="245" customWidth="1"/>
    <col min="2303" max="2303" width="1.85546875" style="245" customWidth="1"/>
    <col min="2304" max="2304" width="23" style="245" customWidth="1"/>
    <col min="2305" max="2305" width="1.85546875" style="245" customWidth="1"/>
    <col min="2306" max="2306" width="17.42578125" style="245" customWidth="1"/>
    <col min="2307" max="2307" width="3" style="245" customWidth="1"/>
    <col min="2308" max="2308" width="16.28515625" style="245" customWidth="1"/>
    <col min="2309" max="2309" width="3" style="245" customWidth="1"/>
    <col min="2310" max="2310" width="14.140625" style="245" customWidth="1"/>
    <col min="2311" max="2311" width="2" style="245" customWidth="1"/>
    <col min="2312" max="2312" width="15.85546875" style="245" customWidth="1"/>
    <col min="2313" max="2313" width="3.140625" style="245" customWidth="1"/>
    <col min="2314" max="2314" width="17.85546875" style="245" customWidth="1"/>
    <col min="2315" max="2315" width="2.5703125" style="245" customWidth="1"/>
    <col min="2316" max="2316" width="15.5703125" style="245" customWidth="1"/>
    <col min="2317" max="2317" width="1.85546875" style="245" customWidth="1"/>
    <col min="2318" max="2318" width="14.140625" style="245" customWidth="1"/>
    <col min="2319" max="2319" width="11" style="245" customWidth="1"/>
    <col min="2320" max="2321" width="25" style="245" customWidth="1"/>
    <col min="2322" max="2322" width="1.85546875" style="245" customWidth="1"/>
    <col min="2323" max="2323" width="17.85546875" style="245" customWidth="1"/>
    <col min="2324" max="2324" width="1.85546875" style="245" customWidth="1"/>
    <col min="2325" max="2325" width="19" style="245" customWidth="1"/>
    <col min="2326" max="2326" width="1.85546875" style="245" customWidth="1"/>
    <col min="2327" max="2327" width="16.7109375" style="245" customWidth="1"/>
    <col min="2328" max="2328" width="1.85546875" style="245" customWidth="1"/>
    <col min="2329" max="2329" width="16.7109375" style="245" customWidth="1"/>
    <col min="2330" max="2330" width="1.85546875" style="245" customWidth="1"/>
    <col min="2331" max="2331" width="16.7109375" style="245" customWidth="1"/>
    <col min="2332" max="2332" width="1.85546875" style="245" customWidth="1"/>
    <col min="2333" max="2333" width="16.7109375" style="245" customWidth="1"/>
    <col min="2334" max="2334" width="1.85546875" style="245" customWidth="1"/>
    <col min="2335" max="2335" width="17.85546875" style="245" customWidth="1"/>
    <col min="2336" max="2336" width="5.28515625" style="245" customWidth="1"/>
    <col min="2337" max="2337" width="16.7109375" style="245" customWidth="1"/>
    <col min="2338" max="2338" width="5.28515625" style="245" customWidth="1"/>
    <col min="2339" max="2339" width="14.42578125" style="245" customWidth="1"/>
    <col min="2340" max="2340" width="1.85546875" style="245" customWidth="1"/>
    <col min="2341" max="2341" width="16.7109375" style="245" customWidth="1"/>
    <col min="2342" max="2551" width="11" style="245"/>
    <col min="2552" max="2552" width="7.5703125" style="245" customWidth="1"/>
    <col min="2553" max="2553" width="15.5703125" style="245" customWidth="1"/>
    <col min="2554" max="2554" width="20.140625" style="245" customWidth="1"/>
    <col min="2555" max="2555" width="2.28515625" style="245" customWidth="1"/>
    <col min="2556" max="2556" width="17.42578125" style="245" customWidth="1"/>
    <col min="2557" max="2557" width="1.85546875" style="245" customWidth="1"/>
    <col min="2558" max="2558" width="18.7109375" style="245" customWidth="1"/>
    <col min="2559" max="2559" width="1.85546875" style="245" customWidth="1"/>
    <col min="2560" max="2560" width="23" style="245" customWidth="1"/>
    <col min="2561" max="2561" width="1.85546875" style="245" customWidth="1"/>
    <col min="2562" max="2562" width="17.42578125" style="245" customWidth="1"/>
    <col min="2563" max="2563" width="3" style="245" customWidth="1"/>
    <col min="2564" max="2564" width="16.28515625" style="245" customWidth="1"/>
    <col min="2565" max="2565" width="3" style="245" customWidth="1"/>
    <col min="2566" max="2566" width="14.140625" style="245" customWidth="1"/>
    <col min="2567" max="2567" width="2" style="245" customWidth="1"/>
    <col min="2568" max="2568" width="15.85546875" style="245" customWidth="1"/>
    <col min="2569" max="2569" width="3.140625" style="245" customWidth="1"/>
    <col min="2570" max="2570" width="17.85546875" style="245" customWidth="1"/>
    <col min="2571" max="2571" width="2.5703125" style="245" customWidth="1"/>
    <col min="2572" max="2572" width="15.5703125" style="245" customWidth="1"/>
    <col min="2573" max="2573" width="1.85546875" style="245" customWidth="1"/>
    <col min="2574" max="2574" width="14.140625" style="245" customWidth="1"/>
    <col min="2575" max="2575" width="11" style="245" customWidth="1"/>
    <col min="2576" max="2577" width="25" style="245" customWidth="1"/>
    <col min="2578" max="2578" width="1.85546875" style="245" customWidth="1"/>
    <col min="2579" max="2579" width="17.85546875" style="245" customWidth="1"/>
    <col min="2580" max="2580" width="1.85546875" style="245" customWidth="1"/>
    <col min="2581" max="2581" width="19" style="245" customWidth="1"/>
    <col min="2582" max="2582" width="1.85546875" style="245" customWidth="1"/>
    <col min="2583" max="2583" width="16.7109375" style="245" customWidth="1"/>
    <col min="2584" max="2584" width="1.85546875" style="245" customWidth="1"/>
    <col min="2585" max="2585" width="16.7109375" style="245" customWidth="1"/>
    <col min="2586" max="2586" width="1.85546875" style="245" customWidth="1"/>
    <col min="2587" max="2587" width="16.7109375" style="245" customWidth="1"/>
    <col min="2588" max="2588" width="1.85546875" style="245" customWidth="1"/>
    <col min="2589" max="2589" width="16.7109375" style="245" customWidth="1"/>
    <col min="2590" max="2590" width="1.85546875" style="245" customWidth="1"/>
    <col min="2591" max="2591" width="17.85546875" style="245" customWidth="1"/>
    <col min="2592" max="2592" width="5.28515625" style="245" customWidth="1"/>
    <col min="2593" max="2593" width="16.7109375" style="245" customWidth="1"/>
    <col min="2594" max="2594" width="5.28515625" style="245" customWidth="1"/>
    <col min="2595" max="2595" width="14.42578125" style="245" customWidth="1"/>
    <col min="2596" max="2596" width="1.85546875" style="245" customWidth="1"/>
    <col min="2597" max="2597" width="16.7109375" style="245" customWidth="1"/>
    <col min="2598" max="2807" width="11" style="245"/>
    <col min="2808" max="2808" width="7.5703125" style="245" customWidth="1"/>
    <col min="2809" max="2809" width="15.5703125" style="245" customWidth="1"/>
    <col min="2810" max="2810" width="20.140625" style="245" customWidth="1"/>
    <col min="2811" max="2811" width="2.28515625" style="245" customWidth="1"/>
    <col min="2812" max="2812" width="17.42578125" style="245" customWidth="1"/>
    <col min="2813" max="2813" width="1.85546875" style="245" customWidth="1"/>
    <col min="2814" max="2814" width="18.7109375" style="245" customWidth="1"/>
    <col min="2815" max="2815" width="1.85546875" style="245" customWidth="1"/>
    <col min="2816" max="2816" width="23" style="245" customWidth="1"/>
    <col min="2817" max="2817" width="1.85546875" style="245" customWidth="1"/>
    <col min="2818" max="2818" width="17.42578125" style="245" customWidth="1"/>
    <col min="2819" max="2819" width="3" style="245" customWidth="1"/>
    <col min="2820" max="2820" width="16.28515625" style="245" customWidth="1"/>
    <col min="2821" max="2821" width="3" style="245" customWidth="1"/>
    <col min="2822" max="2822" width="14.140625" style="245" customWidth="1"/>
    <col min="2823" max="2823" width="2" style="245" customWidth="1"/>
    <col min="2824" max="2824" width="15.85546875" style="245" customWidth="1"/>
    <col min="2825" max="2825" width="3.140625" style="245" customWidth="1"/>
    <col min="2826" max="2826" width="17.85546875" style="245" customWidth="1"/>
    <col min="2827" max="2827" width="2.5703125" style="245" customWidth="1"/>
    <col min="2828" max="2828" width="15.5703125" style="245" customWidth="1"/>
    <col min="2829" max="2829" width="1.85546875" style="245" customWidth="1"/>
    <col min="2830" max="2830" width="14.140625" style="245" customWidth="1"/>
    <col min="2831" max="2831" width="11" style="245" customWidth="1"/>
    <col min="2832" max="2833" width="25" style="245" customWidth="1"/>
    <col min="2834" max="2834" width="1.85546875" style="245" customWidth="1"/>
    <col min="2835" max="2835" width="17.85546875" style="245" customWidth="1"/>
    <col min="2836" max="2836" width="1.85546875" style="245" customWidth="1"/>
    <col min="2837" max="2837" width="19" style="245" customWidth="1"/>
    <col min="2838" max="2838" width="1.85546875" style="245" customWidth="1"/>
    <col min="2839" max="2839" width="16.7109375" style="245" customWidth="1"/>
    <col min="2840" max="2840" width="1.85546875" style="245" customWidth="1"/>
    <col min="2841" max="2841" width="16.7109375" style="245" customWidth="1"/>
    <col min="2842" max="2842" width="1.85546875" style="245" customWidth="1"/>
    <col min="2843" max="2843" width="16.7109375" style="245" customWidth="1"/>
    <col min="2844" max="2844" width="1.85546875" style="245" customWidth="1"/>
    <col min="2845" max="2845" width="16.7109375" style="245" customWidth="1"/>
    <col min="2846" max="2846" width="1.85546875" style="245" customWidth="1"/>
    <col min="2847" max="2847" width="17.85546875" style="245" customWidth="1"/>
    <col min="2848" max="2848" width="5.28515625" style="245" customWidth="1"/>
    <col min="2849" max="2849" width="16.7109375" style="245" customWidth="1"/>
    <col min="2850" max="2850" width="5.28515625" style="245" customWidth="1"/>
    <col min="2851" max="2851" width="14.42578125" style="245" customWidth="1"/>
    <col min="2852" max="2852" width="1.85546875" style="245" customWidth="1"/>
    <col min="2853" max="2853" width="16.7109375" style="245" customWidth="1"/>
    <col min="2854" max="3063" width="11" style="245"/>
    <col min="3064" max="3064" width="7.5703125" style="245" customWidth="1"/>
    <col min="3065" max="3065" width="15.5703125" style="245" customWidth="1"/>
    <col min="3066" max="3066" width="20.140625" style="245" customWidth="1"/>
    <col min="3067" max="3067" width="2.28515625" style="245" customWidth="1"/>
    <col min="3068" max="3068" width="17.42578125" style="245" customWidth="1"/>
    <col min="3069" max="3069" width="1.85546875" style="245" customWidth="1"/>
    <col min="3070" max="3070" width="18.7109375" style="245" customWidth="1"/>
    <col min="3071" max="3071" width="1.85546875" style="245" customWidth="1"/>
    <col min="3072" max="3072" width="23" style="245" customWidth="1"/>
    <col min="3073" max="3073" width="1.85546875" style="245" customWidth="1"/>
    <col min="3074" max="3074" width="17.42578125" style="245" customWidth="1"/>
    <col min="3075" max="3075" width="3" style="245" customWidth="1"/>
    <col min="3076" max="3076" width="16.28515625" style="245" customWidth="1"/>
    <col min="3077" max="3077" width="3" style="245" customWidth="1"/>
    <col min="3078" max="3078" width="14.140625" style="245" customWidth="1"/>
    <col min="3079" max="3079" width="2" style="245" customWidth="1"/>
    <col min="3080" max="3080" width="15.85546875" style="245" customWidth="1"/>
    <col min="3081" max="3081" width="3.140625" style="245" customWidth="1"/>
    <col min="3082" max="3082" width="17.85546875" style="245" customWidth="1"/>
    <col min="3083" max="3083" width="2.5703125" style="245" customWidth="1"/>
    <col min="3084" max="3084" width="15.5703125" style="245" customWidth="1"/>
    <col min="3085" max="3085" width="1.85546875" style="245" customWidth="1"/>
    <col min="3086" max="3086" width="14.140625" style="245" customWidth="1"/>
    <col min="3087" max="3087" width="11" style="245" customWidth="1"/>
    <col min="3088" max="3089" width="25" style="245" customWidth="1"/>
    <col min="3090" max="3090" width="1.85546875" style="245" customWidth="1"/>
    <col min="3091" max="3091" width="17.85546875" style="245" customWidth="1"/>
    <col min="3092" max="3092" width="1.85546875" style="245" customWidth="1"/>
    <col min="3093" max="3093" width="19" style="245" customWidth="1"/>
    <col min="3094" max="3094" width="1.85546875" style="245" customWidth="1"/>
    <col min="3095" max="3095" width="16.7109375" style="245" customWidth="1"/>
    <col min="3096" max="3096" width="1.85546875" style="245" customWidth="1"/>
    <col min="3097" max="3097" width="16.7109375" style="245" customWidth="1"/>
    <col min="3098" max="3098" width="1.85546875" style="245" customWidth="1"/>
    <col min="3099" max="3099" width="16.7109375" style="245" customWidth="1"/>
    <col min="3100" max="3100" width="1.85546875" style="245" customWidth="1"/>
    <col min="3101" max="3101" width="16.7109375" style="245" customWidth="1"/>
    <col min="3102" max="3102" width="1.85546875" style="245" customWidth="1"/>
    <col min="3103" max="3103" width="17.85546875" style="245" customWidth="1"/>
    <col min="3104" max="3104" width="5.28515625" style="245" customWidth="1"/>
    <col min="3105" max="3105" width="16.7109375" style="245" customWidth="1"/>
    <col min="3106" max="3106" width="5.28515625" style="245" customWidth="1"/>
    <col min="3107" max="3107" width="14.42578125" style="245" customWidth="1"/>
    <col min="3108" max="3108" width="1.85546875" style="245" customWidth="1"/>
    <col min="3109" max="3109" width="16.7109375" style="245" customWidth="1"/>
    <col min="3110" max="3319" width="11" style="245"/>
    <col min="3320" max="3320" width="7.5703125" style="245" customWidth="1"/>
    <col min="3321" max="3321" width="15.5703125" style="245" customWidth="1"/>
    <col min="3322" max="3322" width="20.140625" style="245" customWidth="1"/>
    <col min="3323" max="3323" width="2.28515625" style="245" customWidth="1"/>
    <col min="3324" max="3324" width="17.42578125" style="245" customWidth="1"/>
    <col min="3325" max="3325" width="1.85546875" style="245" customWidth="1"/>
    <col min="3326" max="3326" width="18.7109375" style="245" customWidth="1"/>
    <col min="3327" max="3327" width="1.85546875" style="245" customWidth="1"/>
    <col min="3328" max="3328" width="23" style="245" customWidth="1"/>
    <col min="3329" max="3329" width="1.85546875" style="245" customWidth="1"/>
    <col min="3330" max="3330" width="17.42578125" style="245" customWidth="1"/>
    <col min="3331" max="3331" width="3" style="245" customWidth="1"/>
    <col min="3332" max="3332" width="16.28515625" style="245" customWidth="1"/>
    <col min="3333" max="3333" width="3" style="245" customWidth="1"/>
    <col min="3334" max="3334" width="14.140625" style="245" customWidth="1"/>
    <col min="3335" max="3335" width="2" style="245" customWidth="1"/>
    <col min="3336" max="3336" width="15.85546875" style="245" customWidth="1"/>
    <col min="3337" max="3337" width="3.140625" style="245" customWidth="1"/>
    <col min="3338" max="3338" width="17.85546875" style="245" customWidth="1"/>
    <col min="3339" max="3339" width="2.5703125" style="245" customWidth="1"/>
    <col min="3340" max="3340" width="15.5703125" style="245" customWidth="1"/>
    <col min="3341" max="3341" width="1.85546875" style="245" customWidth="1"/>
    <col min="3342" max="3342" width="14.140625" style="245" customWidth="1"/>
    <col min="3343" max="3343" width="11" style="245" customWidth="1"/>
    <col min="3344" max="3345" width="25" style="245" customWidth="1"/>
    <col min="3346" max="3346" width="1.85546875" style="245" customWidth="1"/>
    <col min="3347" max="3347" width="17.85546875" style="245" customWidth="1"/>
    <col min="3348" max="3348" width="1.85546875" style="245" customWidth="1"/>
    <col min="3349" max="3349" width="19" style="245" customWidth="1"/>
    <col min="3350" max="3350" width="1.85546875" style="245" customWidth="1"/>
    <col min="3351" max="3351" width="16.7109375" style="245" customWidth="1"/>
    <col min="3352" max="3352" width="1.85546875" style="245" customWidth="1"/>
    <col min="3353" max="3353" width="16.7109375" style="245" customWidth="1"/>
    <col min="3354" max="3354" width="1.85546875" style="245" customWidth="1"/>
    <col min="3355" max="3355" width="16.7109375" style="245" customWidth="1"/>
    <col min="3356" max="3356" width="1.85546875" style="245" customWidth="1"/>
    <col min="3357" max="3357" width="16.7109375" style="245" customWidth="1"/>
    <col min="3358" max="3358" width="1.85546875" style="245" customWidth="1"/>
    <col min="3359" max="3359" width="17.85546875" style="245" customWidth="1"/>
    <col min="3360" max="3360" width="5.28515625" style="245" customWidth="1"/>
    <col min="3361" max="3361" width="16.7109375" style="245" customWidth="1"/>
    <col min="3362" max="3362" width="5.28515625" style="245" customWidth="1"/>
    <col min="3363" max="3363" width="14.42578125" style="245" customWidth="1"/>
    <col min="3364" max="3364" width="1.85546875" style="245" customWidth="1"/>
    <col min="3365" max="3365" width="16.7109375" style="245" customWidth="1"/>
    <col min="3366" max="3575" width="11" style="245"/>
    <col min="3576" max="3576" width="7.5703125" style="245" customWidth="1"/>
    <col min="3577" max="3577" width="15.5703125" style="245" customWidth="1"/>
    <col min="3578" max="3578" width="20.140625" style="245" customWidth="1"/>
    <col min="3579" max="3579" width="2.28515625" style="245" customWidth="1"/>
    <col min="3580" max="3580" width="17.42578125" style="245" customWidth="1"/>
    <col min="3581" max="3581" width="1.85546875" style="245" customWidth="1"/>
    <col min="3582" max="3582" width="18.7109375" style="245" customWidth="1"/>
    <col min="3583" max="3583" width="1.85546875" style="245" customWidth="1"/>
    <col min="3584" max="3584" width="23" style="245" customWidth="1"/>
    <col min="3585" max="3585" width="1.85546875" style="245" customWidth="1"/>
    <col min="3586" max="3586" width="17.42578125" style="245" customWidth="1"/>
    <col min="3587" max="3587" width="3" style="245" customWidth="1"/>
    <col min="3588" max="3588" width="16.28515625" style="245" customWidth="1"/>
    <col min="3589" max="3589" width="3" style="245" customWidth="1"/>
    <col min="3590" max="3590" width="14.140625" style="245" customWidth="1"/>
    <col min="3591" max="3591" width="2" style="245" customWidth="1"/>
    <col min="3592" max="3592" width="15.85546875" style="245" customWidth="1"/>
    <col min="3593" max="3593" width="3.140625" style="245" customWidth="1"/>
    <col min="3594" max="3594" width="17.85546875" style="245" customWidth="1"/>
    <col min="3595" max="3595" width="2.5703125" style="245" customWidth="1"/>
    <col min="3596" max="3596" width="15.5703125" style="245" customWidth="1"/>
    <col min="3597" max="3597" width="1.85546875" style="245" customWidth="1"/>
    <col min="3598" max="3598" width="14.140625" style="245" customWidth="1"/>
    <col min="3599" max="3599" width="11" style="245" customWidth="1"/>
    <col min="3600" max="3601" width="25" style="245" customWidth="1"/>
    <col min="3602" max="3602" width="1.85546875" style="245" customWidth="1"/>
    <col min="3603" max="3603" width="17.85546875" style="245" customWidth="1"/>
    <col min="3604" max="3604" width="1.85546875" style="245" customWidth="1"/>
    <col min="3605" max="3605" width="19" style="245" customWidth="1"/>
    <col min="3606" max="3606" width="1.85546875" style="245" customWidth="1"/>
    <col min="3607" max="3607" width="16.7109375" style="245" customWidth="1"/>
    <col min="3608" max="3608" width="1.85546875" style="245" customWidth="1"/>
    <col min="3609" max="3609" width="16.7109375" style="245" customWidth="1"/>
    <col min="3610" max="3610" width="1.85546875" style="245" customWidth="1"/>
    <col min="3611" max="3611" width="16.7109375" style="245" customWidth="1"/>
    <col min="3612" max="3612" width="1.85546875" style="245" customWidth="1"/>
    <col min="3613" max="3613" width="16.7109375" style="245" customWidth="1"/>
    <col min="3614" max="3614" width="1.85546875" style="245" customWidth="1"/>
    <col min="3615" max="3615" width="17.85546875" style="245" customWidth="1"/>
    <col min="3616" max="3616" width="5.28515625" style="245" customWidth="1"/>
    <col min="3617" max="3617" width="16.7109375" style="245" customWidth="1"/>
    <col min="3618" max="3618" width="5.28515625" style="245" customWidth="1"/>
    <col min="3619" max="3619" width="14.42578125" style="245" customWidth="1"/>
    <col min="3620" max="3620" width="1.85546875" style="245" customWidth="1"/>
    <col min="3621" max="3621" width="16.7109375" style="245" customWidth="1"/>
    <col min="3622" max="3831" width="11" style="245"/>
    <col min="3832" max="3832" width="7.5703125" style="245" customWidth="1"/>
    <col min="3833" max="3833" width="15.5703125" style="245" customWidth="1"/>
    <col min="3834" max="3834" width="20.140625" style="245" customWidth="1"/>
    <col min="3835" max="3835" width="2.28515625" style="245" customWidth="1"/>
    <col min="3836" max="3836" width="17.42578125" style="245" customWidth="1"/>
    <col min="3837" max="3837" width="1.85546875" style="245" customWidth="1"/>
    <col min="3838" max="3838" width="18.7109375" style="245" customWidth="1"/>
    <col min="3839" max="3839" width="1.85546875" style="245" customWidth="1"/>
    <col min="3840" max="3840" width="23" style="245" customWidth="1"/>
    <col min="3841" max="3841" width="1.85546875" style="245" customWidth="1"/>
    <col min="3842" max="3842" width="17.42578125" style="245" customWidth="1"/>
    <col min="3843" max="3843" width="3" style="245" customWidth="1"/>
    <col min="3844" max="3844" width="16.28515625" style="245" customWidth="1"/>
    <col min="3845" max="3845" width="3" style="245" customWidth="1"/>
    <col min="3846" max="3846" width="14.140625" style="245" customWidth="1"/>
    <col min="3847" max="3847" width="2" style="245" customWidth="1"/>
    <col min="3848" max="3848" width="15.85546875" style="245" customWidth="1"/>
    <col min="3849" max="3849" width="3.140625" style="245" customWidth="1"/>
    <col min="3850" max="3850" width="17.85546875" style="245" customWidth="1"/>
    <col min="3851" max="3851" width="2.5703125" style="245" customWidth="1"/>
    <col min="3852" max="3852" width="15.5703125" style="245" customWidth="1"/>
    <col min="3853" max="3853" width="1.85546875" style="245" customWidth="1"/>
    <col min="3854" max="3854" width="14.140625" style="245" customWidth="1"/>
    <col min="3855" max="3855" width="11" style="245" customWidth="1"/>
    <col min="3856" max="3857" width="25" style="245" customWidth="1"/>
    <col min="3858" max="3858" width="1.85546875" style="245" customWidth="1"/>
    <col min="3859" max="3859" width="17.85546875" style="245" customWidth="1"/>
    <col min="3860" max="3860" width="1.85546875" style="245" customWidth="1"/>
    <col min="3861" max="3861" width="19" style="245" customWidth="1"/>
    <col min="3862" max="3862" width="1.85546875" style="245" customWidth="1"/>
    <col min="3863" max="3863" width="16.7109375" style="245" customWidth="1"/>
    <col min="3864" max="3864" width="1.85546875" style="245" customWidth="1"/>
    <col min="3865" max="3865" width="16.7109375" style="245" customWidth="1"/>
    <col min="3866" max="3866" width="1.85546875" style="245" customWidth="1"/>
    <col min="3867" max="3867" width="16.7109375" style="245" customWidth="1"/>
    <col min="3868" max="3868" width="1.85546875" style="245" customWidth="1"/>
    <col min="3869" max="3869" width="16.7109375" style="245" customWidth="1"/>
    <col min="3870" max="3870" width="1.85546875" style="245" customWidth="1"/>
    <col min="3871" max="3871" width="17.85546875" style="245" customWidth="1"/>
    <col min="3872" max="3872" width="5.28515625" style="245" customWidth="1"/>
    <col min="3873" max="3873" width="16.7109375" style="245" customWidth="1"/>
    <col min="3874" max="3874" width="5.28515625" style="245" customWidth="1"/>
    <col min="3875" max="3875" width="14.42578125" style="245" customWidth="1"/>
    <col min="3876" max="3876" width="1.85546875" style="245" customWidth="1"/>
    <col min="3877" max="3877" width="16.7109375" style="245" customWidth="1"/>
    <col min="3878" max="4087" width="11" style="245"/>
    <col min="4088" max="4088" width="7.5703125" style="245" customWidth="1"/>
    <col min="4089" max="4089" width="15.5703125" style="245" customWidth="1"/>
    <col min="4090" max="4090" width="20.140625" style="245" customWidth="1"/>
    <col min="4091" max="4091" width="2.28515625" style="245" customWidth="1"/>
    <col min="4092" max="4092" width="17.42578125" style="245" customWidth="1"/>
    <col min="4093" max="4093" width="1.85546875" style="245" customWidth="1"/>
    <col min="4094" max="4094" width="18.7109375" style="245" customWidth="1"/>
    <col min="4095" max="4095" width="1.85546875" style="245" customWidth="1"/>
    <col min="4096" max="4096" width="23" style="245" customWidth="1"/>
    <col min="4097" max="4097" width="1.85546875" style="245" customWidth="1"/>
    <col min="4098" max="4098" width="17.42578125" style="245" customWidth="1"/>
    <col min="4099" max="4099" width="3" style="245" customWidth="1"/>
    <col min="4100" max="4100" width="16.28515625" style="245" customWidth="1"/>
    <col min="4101" max="4101" width="3" style="245" customWidth="1"/>
    <col min="4102" max="4102" width="14.140625" style="245" customWidth="1"/>
    <col min="4103" max="4103" width="2" style="245" customWidth="1"/>
    <col min="4104" max="4104" width="15.85546875" style="245" customWidth="1"/>
    <col min="4105" max="4105" width="3.140625" style="245" customWidth="1"/>
    <col min="4106" max="4106" width="17.85546875" style="245" customWidth="1"/>
    <col min="4107" max="4107" width="2.5703125" style="245" customWidth="1"/>
    <col min="4108" max="4108" width="15.5703125" style="245" customWidth="1"/>
    <col min="4109" max="4109" width="1.85546875" style="245" customWidth="1"/>
    <col min="4110" max="4110" width="14.140625" style="245" customWidth="1"/>
    <col min="4111" max="4111" width="11" style="245" customWidth="1"/>
    <col min="4112" max="4113" width="25" style="245" customWidth="1"/>
    <col min="4114" max="4114" width="1.85546875" style="245" customWidth="1"/>
    <col min="4115" max="4115" width="17.85546875" style="245" customWidth="1"/>
    <col min="4116" max="4116" width="1.85546875" style="245" customWidth="1"/>
    <col min="4117" max="4117" width="19" style="245" customWidth="1"/>
    <col min="4118" max="4118" width="1.85546875" style="245" customWidth="1"/>
    <col min="4119" max="4119" width="16.7109375" style="245" customWidth="1"/>
    <col min="4120" max="4120" width="1.85546875" style="245" customWidth="1"/>
    <col min="4121" max="4121" width="16.7109375" style="245" customWidth="1"/>
    <col min="4122" max="4122" width="1.85546875" style="245" customWidth="1"/>
    <col min="4123" max="4123" width="16.7109375" style="245" customWidth="1"/>
    <col min="4124" max="4124" width="1.85546875" style="245" customWidth="1"/>
    <col min="4125" max="4125" width="16.7109375" style="245" customWidth="1"/>
    <col min="4126" max="4126" width="1.85546875" style="245" customWidth="1"/>
    <col min="4127" max="4127" width="17.85546875" style="245" customWidth="1"/>
    <col min="4128" max="4128" width="5.28515625" style="245" customWidth="1"/>
    <col min="4129" max="4129" width="16.7109375" style="245" customWidth="1"/>
    <col min="4130" max="4130" width="5.28515625" style="245" customWidth="1"/>
    <col min="4131" max="4131" width="14.42578125" style="245" customWidth="1"/>
    <col min="4132" max="4132" width="1.85546875" style="245" customWidth="1"/>
    <col min="4133" max="4133" width="16.7109375" style="245" customWidth="1"/>
    <col min="4134" max="4343" width="11" style="245"/>
    <col min="4344" max="4344" width="7.5703125" style="245" customWidth="1"/>
    <col min="4345" max="4345" width="15.5703125" style="245" customWidth="1"/>
    <col min="4346" max="4346" width="20.140625" style="245" customWidth="1"/>
    <col min="4347" max="4347" width="2.28515625" style="245" customWidth="1"/>
    <col min="4348" max="4348" width="17.42578125" style="245" customWidth="1"/>
    <col min="4349" max="4349" width="1.85546875" style="245" customWidth="1"/>
    <col min="4350" max="4350" width="18.7109375" style="245" customWidth="1"/>
    <col min="4351" max="4351" width="1.85546875" style="245" customWidth="1"/>
    <col min="4352" max="4352" width="23" style="245" customWidth="1"/>
    <col min="4353" max="4353" width="1.85546875" style="245" customWidth="1"/>
    <col min="4354" max="4354" width="17.42578125" style="245" customWidth="1"/>
    <col min="4355" max="4355" width="3" style="245" customWidth="1"/>
    <col min="4356" max="4356" width="16.28515625" style="245" customWidth="1"/>
    <col min="4357" max="4357" width="3" style="245" customWidth="1"/>
    <col min="4358" max="4358" width="14.140625" style="245" customWidth="1"/>
    <col min="4359" max="4359" width="2" style="245" customWidth="1"/>
    <col min="4360" max="4360" width="15.85546875" style="245" customWidth="1"/>
    <col min="4361" max="4361" width="3.140625" style="245" customWidth="1"/>
    <col min="4362" max="4362" width="17.85546875" style="245" customWidth="1"/>
    <col min="4363" max="4363" width="2.5703125" style="245" customWidth="1"/>
    <col min="4364" max="4364" width="15.5703125" style="245" customWidth="1"/>
    <col min="4365" max="4365" width="1.85546875" style="245" customWidth="1"/>
    <col min="4366" max="4366" width="14.140625" style="245" customWidth="1"/>
    <col min="4367" max="4367" width="11" style="245" customWidth="1"/>
    <col min="4368" max="4369" width="25" style="245" customWidth="1"/>
    <col min="4370" max="4370" width="1.85546875" style="245" customWidth="1"/>
    <col min="4371" max="4371" width="17.85546875" style="245" customWidth="1"/>
    <col min="4372" max="4372" width="1.85546875" style="245" customWidth="1"/>
    <col min="4373" max="4373" width="19" style="245" customWidth="1"/>
    <col min="4374" max="4374" width="1.85546875" style="245" customWidth="1"/>
    <col min="4375" max="4375" width="16.7109375" style="245" customWidth="1"/>
    <col min="4376" max="4376" width="1.85546875" style="245" customWidth="1"/>
    <col min="4377" max="4377" width="16.7109375" style="245" customWidth="1"/>
    <col min="4378" max="4378" width="1.85546875" style="245" customWidth="1"/>
    <col min="4379" max="4379" width="16.7109375" style="245" customWidth="1"/>
    <col min="4380" max="4380" width="1.85546875" style="245" customWidth="1"/>
    <col min="4381" max="4381" width="16.7109375" style="245" customWidth="1"/>
    <col min="4382" max="4382" width="1.85546875" style="245" customWidth="1"/>
    <col min="4383" max="4383" width="17.85546875" style="245" customWidth="1"/>
    <col min="4384" max="4384" width="5.28515625" style="245" customWidth="1"/>
    <col min="4385" max="4385" width="16.7109375" style="245" customWidth="1"/>
    <col min="4386" max="4386" width="5.28515625" style="245" customWidth="1"/>
    <col min="4387" max="4387" width="14.42578125" style="245" customWidth="1"/>
    <col min="4388" max="4388" width="1.85546875" style="245" customWidth="1"/>
    <col min="4389" max="4389" width="16.7109375" style="245" customWidth="1"/>
    <col min="4390" max="4599" width="11" style="245"/>
    <col min="4600" max="4600" width="7.5703125" style="245" customWidth="1"/>
    <col min="4601" max="4601" width="15.5703125" style="245" customWidth="1"/>
    <col min="4602" max="4602" width="20.140625" style="245" customWidth="1"/>
    <col min="4603" max="4603" width="2.28515625" style="245" customWidth="1"/>
    <col min="4604" max="4604" width="17.42578125" style="245" customWidth="1"/>
    <col min="4605" max="4605" width="1.85546875" style="245" customWidth="1"/>
    <col min="4606" max="4606" width="18.7109375" style="245" customWidth="1"/>
    <col min="4607" max="4607" width="1.85546875" style="245" customWidth="1"/>
    <col min="4608" max="4608" width="23" style="245" customWidth="1"/>
    <col min="4609" max="4609" width="1.85546875" style="245" customWidth="1"/>
    <col min="4610" max="4610" width="17.42578125" style="245" customWidth="1"/>
    <col min="4611" max="4611" width="3" style="245" customWidth="1"/>
    <col min="4612" max="4612" width="16.28515625" style="245" customWidth="1"/>
    <col min="4613" max="4613" width="3" style="245" customWidth="1"/>
    <col min="4614" max="4614" width="14.140625" style="245" customWidth="1"/>
    <col min="4615" max="4615" width="2" style="245" customWidth="1"/>
    <col min="4616" max="4616" width="15.85546875" style="245" customWidth="1"/>
    <col min="4617" max="4617" width="3.140625" style="245" customWidth="1"/>
    <col min="4618" max="4618" width="17.85546875" style="245" customWidth="1"/>
    <col min="4619" max="4619" width="2.5703125" style="245" customWidth="1"/>
    <col min="4620" max="4620" width="15.5703125" style="245" customWidth="1"/>
    <col min="4621" max="4621" width="1.85546875" style="245" customWidth="1"/>
    <col min="4622" max="4622" width="14.140625" style="245" customWidth="1"/>
    <col min="4623" max="4623" width="11" style="245" customWidth="1"/>
    <col min="4624" max="4625" width="25" style="245" customWidth="1"/>
    <col min="4626" max="4626" width="1.85546875" style="245" customWidth="1"/>
    <col min="4627" max="4627" width="17.85546875" style="245" customWidth="1"/>
    <col min="4628" max="4628" width="1.85546875" style="245" customWidth="1"/>
    <col min="4629" max="4629" width="19" style="245" customWidth="1"/>
    <col min="4630" max="4630" width="1.85546875" style="245" customWidth="1"/>
    <col min="4631" max="4631" width="16.7109375" style="245" customWidth="1"/>
    <col min="4632" max="4632" width="1.85546875" style="245" customWidth="1"/>
    <col min="4633" max="4633" width="16.7109375" style="245" customWidth="1"/>
    <col min="4634" max="4634" width="1.85546875" style="245" customWidth="1"/>
    <col min="4635" max="4635" width="16.7109375" style="245" customWidth="1"/>
    <col min="4636" max="4636" width="1.85546875" style="245" customWidth="1"/>
    <col min="4637" max="4637" width="16.7109375" style="245" customWidth="1"/>
    <col min="4638" max="4638" width="1.85546875" style="245" customWidth="1"/>
    <col min="4639" max="4639" width="17.85546875" style="245" customWidth="1"/>
    <col min="4640" max="4640" width="5.28515625" style="245" customWidth="1"/>
    <col min="4641" max="4641" width="16.7109375" style="245" customWidth="1"/>
    <col min="4642" max="4642" width="5.28515625" style="245" customWidth="1"/>
    <col min="4643" max="4643" width="14.42578125" style="245" customWidth="1"/>
    <col min="4644" max="4644" width="1.85546875" style="245" customWidth="1"/>
    <col min="4645" max="4645" width="16.7109375" style="245" customWidth="1"/>
    <col min="4646" max="4855" width="11" style="245"/>
    <col min="4856" max="4856" width="7.5703125" style="245" customWidth="1"/>
    <col min="4857" max="4857" width="15.5703125" style="245" customWidth="1"/>
    <col min="4858" max="4858" width="20.140625" style="245" customWidth="1"/>
    <col min="4859" max="4859" width="2.28515625" style="245" customWidth="1"/>
    <col min="4860" max="4860" width="17.42578125" style="245" customWidth="1"/>
    <col min="4861" max="4861" width="1.85546875" style="245" customWidth="1"/>
    <col min="4862" max="4862" width="18.7109375" style="245" customWidth="1"/>
    <col min="4863" max="4863" width="1.85546875" style="245" customWidth="1"/>
    <col min="4864" max="4864" width="23" style="245" customWidth="1"/>
    <col min="4865" max="4865" width="1.85546875" style="245" customWidth="1"/>
    <col min="4866" max="4866" width="17.42578125" style="245" customWidth="1"/>
    <col min="4867" max="4867" width="3" style="245" customWidth="1"/>
    <col min="4868" max="4868" width="16.28515625" style="245" customWidth="1"/>
    <col min="4869" max="4869" width="3" style="245" customWidth="1"/>
    <col min="4870" max="4870" width="14.140625" style="245" customWidth="1"/>
    <col min="4871" max="4871" width="2" style="245" customWidth="1"/>
    <col min="4872" max="4872" width="15.85546875" style="245" customWidth="1"/>
    <col min="4873" max="4873" width="3.140625" style="245" customWidth="1"/>
    <col min="4874" max="4874" width="17.85546875" style="245" customWidth="1"/>
    <col min="4875" max="4875" width="2.5703125" style="245" customWidth="1"/>
    <col min="4876" max="4876" width="15.5703125" style="245" customWidth="1"/>
    <col min="4877" max="4877" width="1.85546875" style="245" customWidth="1"/>
    <col min="4878" max="4878" width="14.140625" style="245" customWidth="1"/>
    <col min="4879" max="4879" width="11" style="245" customWidth="1"/>
    <col min="4880" max="4881" width="25" style="245" customWidth="1"/>
    <col min="4882" max="4882" width="1.85546875" style="245" customWidth="1"/>
    <col min="4883" max="4883" width="17.85546875" style="245" customWidth="1"/>
    <col min="4884" max="4884" width="1.85546875" style="245" customWidth="1"/>
    <col min="4885" max="4885" width="19" style="245" customWidth="1"/>
    <col min="4886" max="4886" width="1.85546875" style="245" customWidth="1"/>
    <col min="4887" max="4887" width="16.7109375" style="245" customWidth="1"/>
    <col min="4888" max="4888" width="1.85546875" style="245" customWidth="1"/>
    <col min="4889" max="4889" width="16.7109375" style="245" customWidth="1"/>
    <col min="4890" max="4890" width="1.85546875" style="245" customWidth="1"/>
    <col min="4891" max="4891" width="16.7109375" style="245" customWidth="1"/>
    <col min="4892" max="4892" width="1.85546875" style="245" customWidth="1"/>
    <col min="4893" max="4893" width="16.7109375" style="245" customWidth="1"/>
    <col min="4894" max="4894" width="1.85546875" style="245" customWidth="1"/>
    <col min="4895" max="4895" width="17.85546875" style="245" customWidth="1"/>
    <col min="4896" max="4896" width="5.28515625" style="245" customWidth="1"/>
    <col min="4897" max="4897" width="16.7109375" style="245" customWidth="1"/>
    <col min="4898" max="4898" width="5.28515625" style="245" customWidth="1"/>
    <col min="4899" max="4899" width="14.42578125" style="245" customWidth="1"/>
    <col min="4900" max="4900" width="1.85546875" style="245" customWidth="1"/>
    <col min="4901" max="4901" width="16.7109375" style="245" customWidth="1"/>
    <col min="4902" max="5111" width="11" style="245"/>
    <col min="5112" max="5112" width="7.5703125" style="245" customWidth="1"/>
    <col min="5113" max="5113" width="15.5703125" style="245" customWidth="1"/>
    <col min="5114" max="5114" width="20.140625" style="245" customWidth="1"/>
    <col min="5115" max="5115" width="2.28515625" style="245" customWidth="1"/>
    <col min="5116" max="5116" width="17.42578125" style="245" customWidth="1"/>
    <col min="5117" max="5117" width="1.85546875" style="245" customWidth="1"/>
    <col min="5118" max="5118" width="18.7109375" style="245" customWidth="1"/>
    <col min="5119" max="5119" width="1.85546875" style="245" customWidth="1"/>
    <col min="5120" max="5120" width="23" style="245" customWidth="1"/>
    <col min="5121" max="5121" width="1.85546875" style="245" customWidth="1"/>
    <col min="5122" max="5122" width="17.42578125" style="245" customWidth="1"/>
    <col min="5123" max="5123" width="3" style="245" customWidth="1"/>
    <col min="5124" max="5124" width="16.28515625" style="245" customWidth="1"/>
    <col min="5125" max="5125" width="3" style="245" customWidth="1"/>
    <col min="5126" max="5126" width="14.140625" style="245" customWidth="1"/>
    <col min="5127" max="5127" width="2" style="245" customWidth="1"/>
    <col min="5128" max="5128" width="15.85546875" style="245" customWidth="1"/>
    <col min="5129" max="5129" width="3.140625" style="245" customWidth="1"/>
    <col min="5130" max="5130" width="17.85546875" style="245" customWidth="1"/>
    <col min="5131" max="5131" width="2.5703125" style="245" customWidth="1"/>
    <col min="5132" max="5132" width="15.5703125" style="245" customWidth="1"/>
    <col min="5133" max="5133" width="1.85546875" style="245" customWidth="1"/>
    <col min="5134" max="5134" width="14.140625" style="245" customWidth="1"/>
    <col min="5135" max="5135" width="11" style="245" customWidth="1"/>
    <col min="5136" max="5137" width="25" style="245" customWidth="1"/>
    <col min="5138" max="5138" width="1.85546875" style="245" customWidth="1"/>
    <col min="5139" max="5139" width="17.85546875" style="245" customWidth="1"/>
    <col min="5140" max="5140" width="1.85546875" style="245" customWidth="1"/>
    <col min="5141" max="5141" width="19" style="245" customWidth="1"/>
    <col min="5142" max="5142" width="1.85546875" style="245" customWidth="1"/>
    <col min="5143" max="5143" width="16.7109375" style="245" customWidth="1"/>
    <col min="5144" max="5144" width="1.85546875" style="245" customWidth="1"/>
    <col min="5145" max="5145" width="16.7109375" style="245" customWidth="1"/>
    <col min="5146" max="5146" width="1.85546875" style="245" customWidth="1"/>
    <col min="5147" max="5147" width="16.7109375" style="245" customWidth="1"/>
    <col min="5148" max="5148" width="1.85546875" style="245" customWidth="1"/>
    <col min="5149" max="5149" width="16.7109375" style="245" customWidth="1"/>
    <col min="5150" max="5150" width="1.85546875" style="245" customWidth="1"/>
    <col min="5151" max="5151" width="17.85546875" style="245" customWidth="1"/>
    <col min="5152" max="5152" width="5.28515625" style="245" customWidth="1"/>
    <col min="5153" max="5153" width="16.7109375" style="245" customWidth="1"/>
    <col min="5154" max="5154" width="5.28515625" style="245" customWidth="1"/>
    <col min="5155" max="5155" width="14.42578125" style="245" customWidth="1"/>
    <col min="5156" max="5156" width="1.85546875" style="245" customWidth="1"/>
    <col min="5157" max="5157" width="16.7109375" style="245" customWidth="1"/>
    <col min="5158" max="5367" width="11" style="245"/>
    <col min="5368" max="5368" width="7.5703125" style="245" customWidth="1"/>
    <col min="5369" max="5369" width="15.5703125" style="245" customWidth="1"/>
    <col min="5370" max="5370" width="20.140625" style="245" customWidth="1"/>
    <col min="5371" max="5371" width="2.28515625" style="245" customWidth="1"/>
    <col min="5372" max="5372" width="17.42578125" style="245" customWidth="1"/>
    <col min="5373" max="5373" width="1.85546875" style="245" customWidth="1"/>
    <col min="5374" max="5374" width="18.7109375" style="245" customWidth="1"/>
    <col min="5375" max="5375" width="1.85546875" style="245" customWidth="1"/>
    <col min="5376" max="5376" width="23" style="245" customWidth="1"/>
    <col min="5377" max="5377" width="1.85546875" style="245" customWidth="1"/>
    <col min="5378" max="5378" width="17.42578125" style="245" customWidth="1"/>
    <col min="5379" max="5379" width="3" style="245" customWidth="1"/>
    <col min="5380" max="5380" width="16.28515625" style="245" customWidth="1"/>
    <col min="5381" max="5381" width="3" style="245" customWidth="1"/>
    <col min="5382" max="5382" width="14.140625" style="245" customWidth="1"/>
    <col min="5383" max="5383" width="2" style="245" customWidth="1"/>
    <col min="5384" max="5384" width="15.85546875" style="245" customWidth="1"/>
    <col min="5385" max="5385" width="3.140625" style="245" customWidth="1"/>
    <col min="5386" max="5386" width="17.85546875" style="245" customWidth="1"/>
    <col min="5387" max="5387" width="2.5703125" style="245" customWidth="1"/>
    <col min="5388" max="5388" width="15.5703125" style="245" customWidth="1"/>
    <col min="5389" max="5389" width="1.85546875" style="245" customWidth="1"/>
    <col min="5390" max="5390" width="14.140625" style="245" customWidth="1"/>
    <col min="5391" max="5391" width="11" style="245" customWidth="1"/>
    <col min="5392" max="5393" width="25" style="245" customWidth="1"/>
    <col min="5394" max="5394" width="1.85546875" style="245" customWidth="1"/>
    <col min="5395" max="5395" width="17.85546875" style="245" customWidth="1"/>
    <col min="5396" max="5396" width="1.85546875" style="245" customWidth="1"/>
    <col min="5397" max="5397" width="19" style="245" customWidth="1"/>
    <col min="5398" max="5398" width="1.85546875" style="245" customWidth="1"/>
    <col min="5399" max="5399" width="16.7109375" style="245" customWidth="1"/>
    <col min="5400" max="5400" width="1.85546875" style="245" customWidth="1"/>
    <col min="5401" max="5401" width="16.7109375" style="245" customWidth="1"/>
    <col min="5402" max="5402" width="1.85546875" style="245" customWidth="1"/>
    <col min="5403" max="5403" width="16.7109375" style="245" customWidth="1"/>
    <col min="5404" max="5404" width="1.85546875" style="245" customWidth="1"/>
    <col min="5405" max="5405" width="16.7109375" style="245" customWidth="1"/>
    <col min="5406" max="5406" width="1.85546875" style="245" customWidth="1"/>
    <col min="5407" max="5407" width="17.85546875" style="245" customWidth="1"/>
    <col min="5408" max="5408" width="5.28515625" style="245" customWidth="1"/>
    <col min="5409" max="5409" width="16.7109375" style="245" customWidth="1"/>
    <col min="5410" max="5410" width="5.28515625" style="245" customWidth="1"/>
    <col min="5411" max="5411" width="14.42578125" style="245" customWidth="1"/>
    <col min="5412" max="5412" width="1.85546875" style="245" customWidth="1"/>
    <col min="5413" max="5413" width="16.7109375" style="245" customWidth="1"/>
    <col min="5414" max="5623" width="11" style="245"/>
    <col min="5624" max="5624" width="7.5703125" style="245" customWidth="1"/>
    <col min="5625" max="5625" width="15.5703125" style="245" customWidth="1"/>
    <col min="5626" max="5626" width="20.140625" style="245" customWidth="1"/>
    <col min="5627" max="5627" width="2.28515625" style="245" customWidth="1"/>
    <col min="5628" max="5628" width="17.42578125" style="245" customWidth="1"/>
    <col min="5629" max="5629" width="1.85546875" style="245" customWidth="1"/>
    <col min="5630" max="5630" width="18.7109375" style="245" customWidth="1"/>
    <col min="5631" max="5631" width="1.85546875" style="245" customWidth="1"/>
    <col min="5632" max="5632" width="23" style="245" customWidth="1"/>
    <col min="5633" max="5633" width="1.85546875" style="245" customWidth="1"/>
    <col min="5634" max="5634" width="17.42578125" style="245" customWidth="1"/>
    <col min="5635" max="5635" width="3" style="245" customWidth="1"/>
    <col min="5636" max="5636" width="16.28515625" style="245" customWidth="1"/>
    <col min="5637" max="5637" width="3" style="245" customWidth="1"/>
    <col min="5638" max="5638" width="14.140625" style="245" customWidth="1"/>
    <col min="5639" max="5639" width="2" style="245" customWidth="1"/>
    <col min="5640" max="5640" width="15.85546875" style="245" customWidth="1"/>
    <col min="5641" max="5641" width="3.140625" style="245" customWidth="1"/>
    <col min="5642" max="5642" width="17.85546875" style="245" customWidth="1"/>
    <col min="5643" max="5643" width="2.5703125" style="245" customWidth="1"/>
    <col min="5644" max="5644" width="15.5703125" style="245" customWidth="1"/>
    <col min="5645" max="5645" width="1.85546875" style="245" customWidth="1"/>
    <col min="5646" max="5646" width="14.140625" style="245" customWidth="1"/>
    <col min="5647" max="5647" width="11" style="245" customWidth="1"/>
    <col min="5648" max="5649" width="25" style="245" customWidth="1"/>
    <col min="5650" max="5650" width="1.85546875" style="245" customWidth="1"/>
    <col min="5651" max="5651" width="17.85546875" style="245" customWidth="1"/>
    <col min="5652" max="5652" width="1.85546875" style="245" customWidth="1"/>
    <col min="5653" max="5653" width="19" style="245" customWidth="1"/>
    <col min="5654" max="5654" width="1.85546875" style="245" customWidth="1"/>
    <col min="5655" max="5655" width="16.7109375" style="245" customWidth="1"/>
    <col min="5656" max="5656" width="1.85546875" style="245" customWidth="1"/>
    <col min="5657" max="5657" width="16.7109375" style="245" customWidth="1"/>
    <col min="5658" max="5658" width="1.85546875" style="245" customWidth="1"/>
    <col min="5659" max="5659" width="16.7109375" style="245" customWidth="1"/>
    <col min="5660" max="5660" width="1.85546875" style="245" customWidth="1"/>
    <col min="5661" max="5661" width="16.7109375" style="245" customWidth="1"/>
    <col min="5662" max="5662" width="1.85546875" style="245" customWidth="1"/>
    <col min="5663" max="5663" width="17.85546875" style="245" customWidth="1"/>
    <col min="5664" max="5664" width="5.28515625" style="245" customWidth="1"/>
    <col min="5665" max="5665" width="16.7109375" style="245" customWidth="1"/>
    <col min="5666" max="5666" width="5.28515625" style="245" customWidth="1"/>
    <col min="5667" max="5667" width="14.42578125" style="245" customWidth="1"/>
    <col min="5668" max="5668" width="1.85546875" style="245" customWidth="1"/>
    <col min="5669" max="5669" width="16.7109375" style="245" customWidth="1"/>
    <col min="5670" max="5879" width="11" style="245"/>
    <col min="5880" max="5880" width="7.5703125" style="245" customWidth="1"/>
    <col min="5881" max="5881" width="15.5703125" style="245" customWidth="1"/>
    <col min="5882" max="5882" width="20.140625" style="245" customWidth="1"/>
    <col min="5883" max="5883" width="2.28515625" style="245" customWidth="1"/>
    <col min="5884" max="5884" width="17.42578125" style="245" customWidth="1"/>
    <col min="5885" max="5885" width="1.85546875" style="245" customWidth="1"/>
    <col min="5886" max="5886" width="18.7109375" style="245" customWidth="1"/>
    <col min="5887" max="5887" width="1.85546875" style="245" customWidth="1"/>
    <col min="5888" max="5888" width="23" style="245" customWidth="1"/>
    <col min="5889" max="5889" width="1.85546875" style="245" customWidth="1"/>
    <col min="5890" max="5890" width="17.42578125" style="245" customWidth="1"/>
    <col min="5891" max="5891" width="3" style="245" customWidth="1"/>
    <col min="5892" max="5892" width="16.28515625" style="245" customWidth="1"/>
    <col min="5893" max="5893" width="3" style="245" customWidth="1"/>
    <col min="5894" max="5894" width="14.140625" style="245" customWidth="1"/>
    <col min="5895" max="5895" width="2" style="245" customWidth="1"/>
    <col min="5896" max="5896" width="15.85546875" style="245" customWidth="1"/>
    <col min="5897" max="5897" width="3.140625" style="245" customWidth="1"/>
    <col min="5898" max="5898" width="17.85546875" style="245" customWidth="1"/>
    <col min="5899" max="5899" width="2.5703125" style="245" customWidth="1"/>
    <col min="5900" max="5900" width="15.5703125" style="245" customWidth="1"/>
    <col min="5901" max="5901" width="1.85546875" style="245" customWidth="1"/>
    <col min="5902" max="5902" width="14.140625" style="245" customWidth="1"/>
    <col min="5903" max="5903" width="11" style="245" customWidth="1"/>
    <col min="5904" max="5905" width="25" style="245" customWidth="1"/>
    <col min="5906" max="5906" width="1.85546875" style="245" customWidth="1"/>
    <col min="5907" max="5907" width="17.85546875" style="245" customWidth="1"/>
    <col min="5908" max="5908" width="1.85546875" style="245" customWidth="1"/>
    <col min="5909" max="5909" width="19" style="245" customWidth="1"/>
    <col min="5910" max="5910" width="1.85546875" style="245" customWidth="1"/>
    <col min="5911" max="5911" width="16.7109375" style="245" customWidth="1"/>
    <col min="5912" max="5912" width="1.85546875" style="245" customWidth="1"/>
    <col min="5913" max="5913" width="16.7109375" style="245" customWidth="1"/>
    <col min="5914" max="5914" width="1.85546875" style="245" customWidth="1"/>
    <col min="5915" max="5915" width="16.7109375" style="245" customWidth="1"/>
    <col min="5916" max="5916" width="1.85546875" style="245" customWidth="1"/>
    <col min="5917" max="5917" width="16.7109375" style="245" customWidth="1"/>
    <col min="5918" max="5918" width="1.85546875" style="245" customWidth="1"/>
    <col min="5919" max="5919" width="17.85546875" style="245" customWidth="1"/>
    <col min="5920" max="5920" width="5.28515625" style="245" customWidth="1"/>
    <col min="5921" max="5921" width="16.7109375" style="245" customWidth="1"/>
    <col min="5922" max="5922" width="5.28515625" style="245" customWidth="1"/>
    <col min="5923" max="5923" width="14.42578125" style="245" customWidth="1"/>
    <col min="5924" max="5924" width="1.85546875" style="245" customWidth="1"/>
    <col min="5925" max="5925" width="16.7109375" style="245" customWidth="1"/>
    <col min="5926" max="6135" width="11" style="245"/>
    <col min="6136" max="6136" width="7.5703125" style="245" customWidth="1"/>
    <col min="6137" max="6137" width="15.5703125" style="245" customWidth="1"/>
    <col min="6138" max="6138" width="20.140625" style="245" customWidth="1"/>
    <col min="6139" max="6139" width="2.28515625" style="245" customWidth="1"/>
    <col min="6140" max="6140" width="17.42578125" style="245" customWidth="1"/>
    <col min="6141" max="6141" width="1.85546875" style="245" customWidth="1"/>
    <col min="6142" max="6142" width="18.7109375" style="245" customWidth="1"/>
    <col min="6143" max="6143" width="1.85546875" style="245" customWidth="1"/>
    <col min="6144" max="6144" width="23" style="245" customWidth="1"/>
    <col min="6145" max="6145" width="1.85546875" style="245" customWidth="1"/>
    <col min="6146" max="6146" width="17.42578125" style="245" customWidth="1"/>
    <col min="6147" max="6147" width="3" style="245" customWidth="1"/>
    <col min="6148" max="6148" width="16.28515625" style="245" customWidth="1"/>
    <col min="6149" max="6149" width="3" style="245" customWidth="1"/>
    <col min="6150" max="6150" width="14.140625" style="245" customWidth="1"/>
    <col min="6151" max="6151" width="2" style="245" customWidth="1"/>
    <col min="6152" max="6152" width="15.85546875" style="245" customWidth="1"/>
    <col min="6153" max="6153" width="3.140625" style="245" customWidth="1"/>
    <col min="6154" max="6154" width="17.85546875" style="245" customWidth="1"/>
    <col min="6155" max="6155" width="2.5703125" style="245" customWidth="1"/>
    <col min="6156" max="6156" width="15.5703125" style="245" customWidth="1"/>
    <col min="6157" max="6157" width="1.85546875" style="245" customWidth="1"/>
    <col min="6158" max="6158" width="14.140625" style="245" customWidth="1"/>
    <col min="6159" max="6159" width="11" style="245" customWidth="1"/>
    <col min="6160" max="6161" width="25" style="245" customWidth="1"/>
    <col min="6162" max="6162" width="1.85546875" style="245" customWidth="1"/>
    <col min="6163" max="6163" width="17.85546875" style="245" customWidth="1"/>
    <col min="6164" max="6164" width="1.85546875" style="245" customWidth="1"/>
    <col min="6165" max="6165" width="19" style="245" customWidth="1"/>
    <col min="6166" max="6166" width="1.85546875" style="245" customWidth="1"/>
    <col min="6167" max="6167" width="16.7109375" style="245" customWidth="1"/>
    <col min="6168" max="6168" width="1.85546875" style="245" customWidth="1"/>
    <col min="6169" max="6169" width="16.7109375" style="245" customWidth="1"/>
    <col min="6170" max="6170" width="1.85546875" style="245" customWidth="1"/>
    <col min="6171" max="6171" width="16.7109375" style="245" customWidth="1"/>
    <col min="6172" max="6172" width="1.85546875" style="245" customWidth="1"/>
    <col min="6173" max="6173" width="16.7109375" style="245" customWidth="1"/>
    <col min="6174" max="6174" width="1.85546875" style="245" customWidth="1"/>
    <col min="6175" max="6175" width="17.85546875" style="245" customWidth="1"/>
    <col min="6176" max="6176" width="5.28515625" style="245" customWidth="1"/>
    <col min="6177" max="6177" width="16.7109375" style="245" customWidth="1"/>
    <col min="6178" max="6178" width="5.28515625" style="245" customWidth="1"/>
    <col min="6179" max="6179" width="14.42578125" style="245" customWidth="1"/>
    <col min="6180" max="6180" width="1.85546875" style="245" customWidth="1"/>
    <col min="6181" max="6181" width="16.7109375" style="245" customWidth="1"/>
    <col min="6182" max="6391" width="11" style="245"/>
    <col min="6392" max="6392" width="7.5703125" style="245" customWidth="1"/>
    <col min="6393" max="6393" width="15.5703125" style="245" customWidth="1"/>
    <col min="6394" max="6394" width="20.140625" style="245" customWidth="1"/>
    <col min="6395" max="6395" width="2.28515625" style="245" customWidth="1"/>
    <col min="6396" max="6396" width="17.42578125" style="245" customWidth="1"/>
    <col min="6397" max="6397" width="1.85546875" style="245" customWidth="1"/>
    <col min="6398" max="6398" width="18.7109375" style="245" customWidth="1"/>
    <col min="6399" max="6399" width="1.85546875" style="245" customWidth="1"/>
    <col min="6400" max="6400" width="23" style="245" customWidth="1"/>
    <col min="6401" max="6401" width="1.85546875" style="245" customWidth="1"/>
    <col min="6402" max="6402" width="17.42578125" style="245" customWidth="1"/>
    <col min="6403" max="6403" width="3" style="245" customWidth="1"/>
    <col min="6404" max="6404" width="16.28515625" style="245" customWidth="1"/>
    <col min="6405" max="6405" width="3" style="245" customWidth="1"/>
    <col min="6406" max="6406" width="14.140625" style="245" customWidth="1"/>
    <col min="6407" max="6407" width="2" style="245" customWidth="1"/>
    <col min="6408" max="6408" width="15.85546875" style="245" customWidth="1"/>
    <col min="6409" max="6409" width="3.140625" style="245" customWidth="1"/>
    <col min="6410" max="6410" width="17.85546875" style="245" customWidth="1"/>
    <col min="6411" max="6411" width="2.5703125" style="245" customWidth="1"/>
    <col min="6412" max="6412" width="15.5703125" style="245" customWidth="1"/>
    <col min="6413" max="6413" width="1.85546875" style="245" customWidth="1"/>
    <col min="6414" max="6414" width="14.140625" style="245" customWidth="1"/>
    <col min="6415" max="6415" width="11" style="245" customWidth="1"/>
    <col min="6416" max="6417" width="25" style="245" customWidth="1"/>
    <col min="6418" max="6418" width="1.85546875" style="245" customWidth="1"/>
    <col min="6419" max="6419" width="17.85546875" style="245" customWidth="1"/>
    <col min="6420" max="6420" width="1.85546875" style="245" customWidth="1"/>
    <col min="6421" max="6421" width="19" style="245" customWidth="1"/>
    <col min="6422" max="6422" width="1.85546875" style="245" customWidth="1"/>
    <col min="6423" max="6423" width="16.7109375" style="245" customWidth="1"/>
    <col min="6424" max="6424" width="1.85546875" style="245" customWidth="1"/>
    <col min="6425" max="6425" width="16.7109375" style="245" customWidth="1"/>
    <col min="6426" max="6426" width="1.85546875" style="245" customWidth="1"/>
    <col min="6427" max="6427" width="16.7109375" style="245" customWidth="1"/>
    <col min="6428" max="6428" width="1.85546875" style="245" customWidth="1"/>
    <col min="6429" max="6429" width="16.7109375" style="245" customWidth="1"/>
    <col min="6430" max="6430" width="1.85546875" style="245" customWidth="1"/>
    <col min="6431" max="6431" width="17.85546875" style="245" customWidth="1"/>
    <col min="6432" max="6432" width="5.28515625" style="245" customWidth="1"/>
    <col min="6433" max="6433" width="16.7109375" style="245" customWidth="1"/>
    <col min="6434" max="6434" width="5.28515625" style="245" customWidth="1"/>
    <col min="6435" max="6435" width="14.42578125" style="245" customWidth="1"/>
    <col min="6436" max="6436" width="1.85546875" style="245" customWidth="1"/>
    <col min="6437" max="6437" width="16.7109375" style="245" customWidth="1"/>
    <col min="6438" max="6647" width="11" style="245"/>
    <col min="6648" max="6648" width="7.5703125" style="245" customWidth="1"/>
    <col min="6649" max="6649" width="15.5703125" style="245" customWidth="1"/>
    <col min="6650" max="6650" width="20.140625" style="245" customWidth="1"/>
    <col min="6651" max="6651" width="2.28515625" style="245" customWidth="1"/>
    <col min="6652" max="6652" width="17.42578125" style="245" customWidth="1"/>
    <col min="6653" max="6653" width="1.85546875" style="245" customWidth="1"/>
    <col min="6654" max="6654" width="18.7109375" style="245" customWidth="1"/>
    <col min="6655" max="6655" width="1.85546875" style="245" customWidth="1"/>
    <col min="6656" max="6656" width="23" style="245" customWidth="1"/>
    <col min="6657" max="6657" width="1.85546875" style="245" customWidth="1"/>
    <col min="6658" max="6658" width="17.42578125" style="245" customWidth="1"/>
    <col min="6659" max="6659" width="3" style="245" customWidth="1"/>
    <col min="6660" max="6660" width="16.28515625" style="245" customWidth="1"/>
    <col min="6661" max="6661" width="3" style="245" customWidth="1"/>
    <col min="6662" max="6662" width="14.140625" style="245" customWidth="1"/>
    <col min="6663" max="6663" width="2" style="245" customWidth="1"/>
    <col min="6664" max="6664" width="15.85546875" style="245" customWidth="1"/>
    <col min="6665" max="6665" width="3.140625" style="245" customWidth="1"/>
    <col min="6666" max="6666" width="17.85546875" style="245" customWidth="1"/>
    <col min="6667" max="6667" width="2.5703125" style="245" customWidth="1"/>
    <col min="6668" max="6668" width="15.5703125" style="245" customWidth="1"/>
    <col min="6669" max="6669" width="1.85546875" style="245" customWidth="1"/>
    <col min="6670" max="6670" width="14.140625" style="245" customWidth="1"/>
    <col min="6671" max="6671" width="11" style="245" customWidth="1"/>
    <col min="6672" max="6673" width="25" style="245" customWidth="1"/>
    <col min="6674" max="6674" width="1.85546875" style="245" customWidth="1"/>
    <col min="6675" max="6675" width="17.85546875" style="245" customWidth="1"/>
    <col min="6676" max="6676" width="1.85546875" style="245" customWidth="1"/>
    <col min="6677" max="6677" width="19" style="245" customWidth="1"/>
    <col min="6678" max="6678" width="1.85546875" style="245" customWidth="1"/>
    <col min="6679" max="6679" width="16.7109375" style="245" customWidth="1"/>
    <col min="6680" max="6680" width="1.85546875" style="245" customWidth="1"/>
    <col min="6681" max="6681" width="16.7109375" style="245" customWidth="1"/>
    <col min="6682" max="6682" width="1.85546875" style="245" customWidth="1"/>
    <col min="6683" max="6683" width="16.7109375" style="245" customWidth="1"/>
    <col min="6684" max="6684" width="1.85546875" style="245" customWidth="1"/>
    <col min="6685" max="6685" width="16.7109375" style="245" customWidth="1"/>
    <col min="6686" max="6686" width="1.85546875" style="245" customWidth="1"/>
    <col min="6687" max="6687" width="17.85546875" style="245" customWidth="1"/>
    <col min="6688" max="6688" width="5.28515625" style="245" customWidth="1"/>
    <col min="6689" max="6689" width="16.7109375" style="245" customWidth="1"/>
    <col min="6690" max="6690" width="5.28515625" style="245" customWidth="1"/>
    <col min="6691" max="6691" width="14.42578125" style="245" customWidth="1"/>
    <col min="6692" max="6692" width="1.85546875" style="245" customWidth="1"/>
    <col min="6693" max="6693" width="16.7109375" style="245" customWidth="1"/>
    <col min="6694" max="6903" width="11" style="245"/>
    <col min="6904" max="6904" width="7.5703125" style="245" customWidth="1"/>
    <col min="6905" max="6905" width="15.5703125" style="245" customWidth="1"/>
    <col min="6906" max="6906" width="20.140625" style="245" customWidth="1"/>
    <col min="6907" max="6907" width="2.28515625" style="245" customWidth="1"/>
    <col min="6908" max="6908" width="17.42578125" style="245" customWidth="1"/>
    <col min="6909" max="6909" width="1.85546875" style="245" customWidth="1"/>
    <col min="6910" max="6910" width="18.7109375" style="245" customWidth="1"/>
    <col min="6911" max="6911" width="1.85546875" style="245" customWidth="1"/>
    <col min="6912" max="6912" width="23" style="245" customWidth="1"/>
    <col min="6913" max="6913" width="1.85546875" style="245" customWidth="1"/>
    <col min="6914" max="6914" width="17.42578125" style="245" customWidth="1"/>
    <col min="6915" max="6915" width="3" style="245" customWidth="1"/>
    <col min="6916" max="6916" width="16.28515625" style="245" customWidth="1"/>
    <col min="6917" max="6917" width="3" style="245" customWidth="1"/>
    <col min="6918" max="6918" width="14.140625" style="245" customWidth="1"/>
    <col min="6919" max="6919" width="2" style="245" customWidth="1"/>
    <col min="6920" max="6920" width="15.85546875" style="245" customWidth="1"/>
    <col min="6921" max="6921" width="3.140625" style="245" customWidth="1"/>
    <col min="6922" max="6922" width="17.85546875" style="245" customWidth="1"/>
    <col min="6923" max="6923" width="2.5703125" style="245" customWidth="1"/>
    <col min="6924" max="6924" width="15.5703125" style="245" customWidth="1"/>
    <col min="6925" max="6925" width="1.85546875" style="245" customWidth="1"/>
    <col min="6926" max="6926" width="14.140625" style="245" customWidth="1"/>
    <col min="6927" max="6927" width="11" style="245" customWidth="1"/>
    <col min="6928" max="6929" width="25" style="245" customWidth="1"/>
    <col min="6930" max="6930" width="1.85546875" style="245" customWidth="1"/>
    <col min="6931" max="6931" width="17.85546875" style="245" customWidth="1"/>
    <col min="6932" max="6932" width="1.85546875" style="245" customWidth="1"/>
    <col min="6933" max="6933" width="19" style="245" customWidth="1"/>
    <col min="6934" max="6934" width="1.85546875" style="245" customWidth="1"/>
    <col min="6935" max="6935" width="16.7109375" style="245" customWidth="1"/>
    <col min="6936" max="6936" width="1.85546875" style="245" customWidth="1"/>
    <col min="6937" max="6937" width="16.7109375" style="245" customWidth="1"/>
    <col min="6938" max="6938" width="1.85546875" style="245" customWidth="1"/>
    <col min="6939" max="6939" width="16.7109375" style="245" customWidth="1"/>
    <col min="6940" max="6940" width="1.85546875" style="245" customWidth="1"/>
    <col min="6941" max="6941" width="16.7109375" style="245" customWidth="1"/>
    <col min="6942" max="6942" width="1.85546875" style="245" customWidth="1"/>
    <col min="6943" max="6943" width="17.85546875" style="245" customWidth="1"/>
    <col min="6944" max="6944" width="5.28515625" style="245" customWidth="1"/>
    <col min="6945" max="6945" width="16.7109375" style="245" customWidth="1"/>
    <col min="6946" max="6946" width="5.28515625" style="245" customWidth="1"/>
    <col min="6947" max="6947" width="14.42578125" style="245" customWidth="1"/>
    <col min="6948" max="6948" width="1.85546875" style="245" customWidth="1"/>
    <col min="6949" max="6949" width="16.7109375" style="245" customWidth="1"/>
    <col min="6950" max="7159" width="11" style="245"/>
    <col min="7160" max="7160" width="7.5703125" style="245" customWidth="1"/>
    <col min="7161" max="7161" width="15.5703125" style="245" customWidth="1"/>
    <col min="7162" max="7162" width="20.140625" style="245" customWidth="1"/>
    <col min="7163" max="7163" width="2.28515625" style="245" customWidth="1"/>
    <col min="7164" max="7164" width="17.42578125" style="245" customWidth="1"/>
    <col min="7165" max="7165" width="1.85546875" style="245" customWidth="1"/>
    <col min="7166" max="7166" width="18.7109375" style="245" customWidth="1"/>
    <col min="7167" max="7167" width="1.85546875" style="245" customWidth="1"/>
    <col min="7168" max="7168" width="23" style="245" customWidth="1"/>
    <col min="7169" max="7169" width="1.85546875" style="245" customWidth="1"/>
    <col min="7170" max="7170" width="17.42578125" style="245" customWidth="1"/>
    <col min="7171" max="7171" width="3" style="245" customWidth="1"/>
    <col min="7172" max="7172" width="16.28515625" style="245" customWidth="1"/>
    <col min="7173" max="7173" width="3" style="245" customWidth="1"/>
    <col min="7174" max="7174" width="14.140625" style="245" customWidth="1"/>
    <col min="7175" max="7175" width="2" style="245" customWidth="1"/>
    <col min="7176" max="7176" width="15.85546875" style="245" customWidth="1"/>
    <col min="7177" max="7177" width="3.140625" style="245" customWidth="1"/>
    <col min="7178" max="7178" width="17.85546875" style="245" customWidth="1"/>
    <col min="7179" max="7179" width="2.5703125" style="245" customWidth="1"/>
    <col min="7180" max="7180" width="15.5703125" style="245" customWidth="1"/>
    <col min="7181" max="7181" width="1.85546875" style="245" customWidth="1"/>
    <col min="7182" max="7182" width="14.140625" style="245" customWidth="1"/>
    <col min="7183" max="7183" width="11" style="245" customWidth="1"/>
    <col min="7184" max="7185" width="25" style="245" customWidth="1"/>
    <col min="7186" max="7186" width="1.85546875" style="245" customWidth="1"/>
    <col min="7187" max="7187" width="17.85546875" style="245" customWidth="1"/>
    <col min="7188" max="7188" width="1.85546875" style="245" customWidth="1"/>
    <col min="7189" max="7189" width="19" style="245" customWidth="1"/>
    <col min="7190" max="7190" width="1.85546875" style="245" customWidth="1"/>
    <col min="7191" max="7191" width="16.7109375" style="245" customWidth="1"/>
    <col min="7192" max="7192" width="1.85546875" style="245" customWidth="1"/>
    <col min="7193" max="7193" width="16.7109375" style="245" customWidth="1"/>
    <col min="7194" max="7194" width="1.85546875" style="245" customWidth="1"/>
    <col min="7195" max="7195" width="16.7109375" style="245" customWidth="1"/>
    <col min="7196" max="7196" width="1.85546875" style="245" customWidth="1"/>
    <col min="7197" max="7197" width="16.7109375" style="245" customWidth="1"/>
    <col min="7198" max="7198" width="1.85546875" style="245" customWidth="1"/>
    <col min="7199" max="7199" width="17.85546875" style="245" customWidth="1"/>
    <col min="7200" max="7200" width="5.28515625" style="245" customWidth="1"/>
    <col min="7201" max="7201" width="16.7109375" style="245" customWidth="1"/>
    <col min="7202" max="7202" width="5.28515625" style="245" customWidth="1"/>
    <col min="7203" max="7203" width="14.42578125" style="245" customWidth="1"/>
    <col min="7204" max="7204" width="1.85546875" style="245" customWidth="1"/>
    <col min="7205" max="7205" width="16.7109375" style="245" customWidth="1"/>
    <col min="7206" max="7415" width="11" style="245"/>
    <col min="7416" max="7416" width="7.5703125" style="245" customWidth="1"/>
    <col min="7417" max="7417" width="15.5703125" style="245" customWidth="1"/>
    <col min="7418" max="7418" width="20.140625" style="245" customWidth="1"/>
    <col min="7419" max="7419" width="2.28515625" style="245" customWidth="1"/>
    <col min="7420" max="7420" width="17.42578125" style="245" customWidth="1"/>
    <col min="7421" max="7421" width="1.85546875" style="245" customWidth="1"/>
    <col min="7422" max="7422" width="18.7109375" style="245" customWidth="1"/>
    <col min="7423" max="7423" width="1.85546875" style="245" customWidth="1"/>
    <col min="7424" max="7424" width="23" style="245" customWidth="1"/>
    <col min="7425" max="7425" width="1.85546875" style="245" customWidth="1"/>
    <col min="7426" max="7426" width="17.42578125" style="245" customWidth="1"/>
    <col min="7427" max="7427" width="3" style="245" customWidth="1"/>
    <col min="7428" max="7428" width="16.28515625" style="245" customWidth="1"/>
    <col min="7429" max="7429" width="3" style="245" customWidth="1"/>
    <col min="7430" max="7430" width="14.140625" style="245" customWidth="1"/>
    <col min="7431" max="7431" width="2" style="245" customWidth="1"/>
    <col min="7432" max="7432" width="15.85546875" style="245" customWidth="1"/>
    <col min="7433" max="7433" width="3.140625" style="245" customWidth="1"/>
    <col min="7434" max="7434" width="17.85546875" style="245" customWidth="1"/>
    <col min="7435" max="7435" width="2.5703125" style="245" customWidth="1"/>
    <col min="7436" max="7436" width="15.5703125" style="245" customWidth="1"/>
    <col min="7437" max="7437" width="1.85546875" style="245" customWidth="1"/>
    <col min="7438" max="7438" width="14.140625" style="245" customWidth="1"/>
    <col min="7439" max="7439" width="11" style="245" customWidth="1"/>
    <col min="7440" max="7441" width="25" style="245" customWidth="1"/>
    <col min="7442" max="7442" width="1.85546875" style="245" customWidth="1"/>
    <col min="7443" max="7443" width="17.85546875" style="245" customWidth="1"/>
    <col min="7444" max="7444" width="1.85546875" style="245" customWidth="1"/>
    <col min="7445" max="7445" width="19" style="245" customWidth="1"/>
    <col min="7446" max="7446" width="1.85546875" style="245" customWidth="1"/>
    <col min="7447" max="7447" width="16.7109375" style="245" customWidth="1"/>
    <col min="7448" max="7448" width="1.85546875" style="245" customWidth="1"/>
    <col min="7449" max="7449" width="16.7109375" style="245" customWidth="1"/>
    <col min="7450" max="7450" width="1.85546875" style="245" customWidth="1"/>
    <col min="7451" max="7451" width="16.7109375" style="245" customWidth="1"/>
    <col min="7452" max="7452" width="1.85546875" style="245" customWidth="1"/>
    <col min="7453" max="7453" width="16.7109375" style="245" customWidth="1"/>
    <col min="7454" max="7454" width="1.85546875" style="245" customWidth="1"/>
    <col min="7455" max="7455" width="17.85546875" style="245" customWidth="1"/>
    <col min="7456" max="7456" width="5.28515625" style="245" customWidth="1"/>
    <col min="7457" max="7457" width="16.7109375" style="245" customWidth="1"/>
    <col min="7458" max="7458" width="5.28515625" style="245" customWidth="1"/>
    <col min="7459" max="7459" width="14.42578125" style="245" customWidth="1"/>
    <col min="7460" max="7460" width="1.85546875" style="245" customWidth="1"/>
    <col min="7461" max="7461" width="16.7109375" style="245" customWidth="1"/>
    <col min="7462" max="7671" width="11" style="245"/>
    <col min="7672" max="7672" width="7.5703125" style="245" customWidth="1"/>
    <col min="7673" max="7673" width="15.5703125" style="245" customWidth="1"/>
    <col min="7674" max="7674" width="20.140625" style="245" customWidth="1"/>
    <col min="7675" max="7675" width="2.28515625" style="245" customWidth="1"/>
    <col min="7676" max="7676" width="17.42578125" style="245" customWidth="1"/>
    <col min="7677" max="7677" width="1.85546875" style="245" customWidth="1"/>
    <col min="7678" max="7678" width="18.7109375" style="245" customWidth="1"/>
    <col min="7679" max="7679" width="1.85546875" style="245" customWidth="1"/>
    <col min="7680" max="7680" width="23" style="245" customWidth="1"/>
    <col min="7681" max="7681" width="1.85546875" style="245" customWidth="1"/>
    <col min="7682" max="7682" width="17.42578125" style="245" customWidth="1"/>
    <col min="7683" max="7683" width="3" style="245" customWidth="1"/>
    <col min="7684" max="7684" width="16.28515625" style="245" customWidth="1"/>
    <col min="7685" max="7685" width="3" style="245" customWidth="1"/>
    <col min="7686" max="7686" width="14.140625" style="245" customWidth="1"/>
    <col min="7687" max="7687" width="2" style="245" customWidth="1"/>
    <col min="7688" max="7688" width="15.85546875" style="245" customWidth="1"/>
    <col min="7689" max="7689" width="3.140625" style="245" customWidth="1"/>
    <col min="7690" max="7690" width="17.85546875" style="245" customWidth="1"/>
    <col min="7691" max="7691" width="2.5703125" style="245" customWidth="1"/>
    <col min="7692" max="7692" width="15.5703125" style="245" customWidth="1"/>
    <col min="7693" max="7693" width="1.85546875" style="245" customWidth="1"/>
    <col min="7694" max="7694" width="14.140625" style="245" customWidth="1"/>
    <col min="7695" max="7695" width="11" style="245" customWidth="1"/>
    <col min="7696" max="7697" width="25" style="245" customWidth="1"/>
    <col min="7698" max="7698" width="1.85546875" style="245" customWidth="1"/>
    <col min="7699" max="7699" width="17.85546875" style="245" customWidth="1"/>
    <col min="7700" max="7700" width="1.85546875" style="245" customWidth="1"/>
    <col min="7701" max="7701" width="19" style="245" customWidth="1"/>
    <col min="7702" max="7702" width="1.85546875" style="245" customWidth="1"/>
    <col min="7703" max="7703" width="16.7109375" style="245" customWidth="1"/>
    <col min="7704" max="7704" width="1.85546875" style="245" customWidth="1"/>
    <col min="7705" max="7705" width="16.7109375" style="245" customWidth="1"/>
    <col min="7706" max="7706" width="1.85546875" style="245" customWidth="1"/>
    <col min="7707" max="7707" width="16.7109375" style="245" customWidth="1"/>
    <col min="7708" max="7708" width="1.85546875" style="245" customWidth="1"/>
    <col min="7709" max="7709" width="16.7109375" style="245" customWidth="1"/>
    <col min="7710" max="7710" width="1.85546875" style="245" customWidth="1"/>
    <col min="7711" max="7711" width="17.85546875" style="245" customWidth="1"/>
    <col min="7712" max="7712" width="5.28515625" style="245" customWidth="1"/>
    <col min="7713" max="7713" width="16.7109375" style="245" customWidth="1"/>
    <col min="7714" max="7714" width="5.28515625" style="245" customWidth="1"/>
    <col min="7715" max="7715" width="14.42578125" style="245" customWidth="1"/>
    <col min="7716" max="7716" width="1.85546875" style="245" customWidth="1"/>
    <col min="7717" max="7717" width="16.7109375" style="245" customWidth="1"/>
    <col min="7718" max="7927" width="11" style="245"/>
    <col min="7928" max="7928" width="7.5703125" style="245" customWidth="1"/>
    <col min="7929" max="7929" width="15.5703125" style="245" customWidth="1"/>
    <col min="7930" max="7930" width="20.140625" style="245" customWidth="1"/>
    <col min="7931" max="7931" width="2.28515625" style="245" customWidth="1"/>
    <col min="7932" max="7932" width="17.42578125" style="245" customWidth="1"/>
    <col min="7933" max="7933" width="1.85546875" style="245" customWidth="1"/>
    <col min="7934" max="7934" width="18.7109375" style="245" customWidth="1"/>
    <col min="7935" max="7935" width="1.85546875" style="245" customWidth="1"/>
    <col min="7936" max="7936" width="23" style="245" customWidth="1"/>
    <col min="7937" max="7937" width="1.85546875" style="245" customWidth="1"/>
    <col min="7938" max="7938" width="17.42578125" style="245" customWidth="1"/>
    <col min="7939" max="7939" width="3" style="245" customWidth="1"/>
    <col min="7940" max="7940" width="16.28515625" style="245" customWidth="1"/>
    <col min="7941" max="7941" width="3" style="245" customWidth="1"/>
    <col min="7942" max="7942" width="14.140625" style="245" customWidth="1"/>
    <col min="7943" max="7943" width="2" style="245" customWidth="1"/>
    <col min="7944" max="7944" width="15.85546875" style="245" customWidth="1"/>
    <col min="7945" max="7945" width="3.140625" style="245" customWidth="1"/>
    <col min="7946" max="7946" width="17.85546875" style="245" customWidth="1"/>
    <col min="7947" max="7947" width="2.5703125" style="245" customWidth="1"/>
    <col min="7948" max="7948" width="15.5703125" style="245" customWidth="1"/>
    <col min="7949" max="7949" width="1.85546875" style="245" customWidth="1"/>
    <col min="7950" max="7950" width="14.140625" style="245" customWidth="1"/>
    <col min="7951" max="7951" width="11" style="245" customWidth="1"/>
    <col min="7952" max="7953" width="25" style="245" customWidth="1"/>
    <col min="7954" max="7954" width="1.85546875" style="245" customWidth="1"/>
    <col min="7955" max="7955" width="17.85546875" style="245" customWidth="1"/>
    <col min="7956" max="7956" width="1.85546875" style="245" customWidth="1"/>
    <col min="7957" max="7957" width="19" style="245" customWidth="1"/>
    <col min="7958" max="7958" width="1.85546875" style="245" customWidth="1"/>
    <col min="7959" max="7959" width="16.7109375" style="245" customWidth="1"/>
    <col min="7960" max="7960" width="1.85546875" style="245" customWidth="1"/>
    <col min="7961" max="7961" width="16.7109375" style="245" customWidth="1"/>
    <col min="7962" max="7962" width="1.85546875" style="245" customWidth="1"/>
    <col min="7963" max="7963" width="16.7109375" style="245" customWidth="1"/>
    <col min="7964" max="7964" width="1.85546875" style="245" customWidth="1"/>
    <col min="7965" max="7965" width="16.7109375" style="245" customWidth="1"/>
    <col min="7966" max="7966" width="1.85546875" style="245" customWidth="1"/>
    <col min="7967" max="7967" width="17.85546875" style="245" customWidth="1"/>
    <col min="7968" max="7968" width="5.28515625" style="245" customWidth="1"/>
    <col min="7969" max="7969" width="16.7109375" style="245" customWidth="1"/>
    <col min="7970" max="7970" width="5.28515625" style="245" customWidth="1"/>
    <col min="7971" max="7971" width="14.42578125" style="245" customWidth="1"/>
    <col min="7972" max="7972" width="1.85546875" style="245" customWidth="1"/>
    <col min="7973" max="7973" width="16.7109375" style="245" customWidth="1"/>
    <col min="7974" max="8183" width="11" style="245"/>
    <col min="8184" max="8184" width="7.5703125" style="245" customWidth="1"/>
    <col min="8185" max="8185" width="15.5703125" style="245" customWidth="1"/>
    <col min="8186" max="8186" width="20.140625" style="245" customWidth="1"/>
    <col min="8187" max="8187" width="2.28515625" style="245" customWidth="1"/>
    <col min="8188" max="8188" width="17.42578125" style="245" customWidth="1"/>
    <col min="8189" max="8189" width="1.85546875" style="245" customWidth="1"/>
    <col min="8190" max="8190" width="18.7109375" style="245" customWidth="1"/>
    <col min="8191" max="8191" width="1.85546875" style="245" customWidth="1"/>
    <col min="8192" max="8192" width="23" style="245" customWidth="1"/>
    <col min="8193" max="8193" width="1.85546875" style="245" customWidth="1"/>
    <col min="8194" max="8194" width="17.42578125" style="245" customWidth="1"/>
    <col min="8195" max="8195" width="3" style="245" customWidth="1"/>
    <col min="8196" max="8196" width="16.28515625" style="245" customWidth="1"/>
    <col min="8197" max="8197" width="3" style="245" customWidth="1"/>
    <col min="8198" max="8198" width="14.140625" style="245" customWidth="1"/>
    <col min="8199" max="8199" width="2" style="245" customWidth="1"/>
    <col min="8200" max="8200" width="15.85546875" style="245" customWidth="1"/>
    <col min="8201" max="8201" width="3.140625" style="245" customWidth="1"/>
    <col min="8202" max="8202" width="17.85546875" style="245" customWidth="1"/>
    <col min="8203" max="8203" width="2.5703125" style="245" customWidth="1"/>
    <col min="8204" max="8204" width="15.5703125" style="245" customWidth="1"/>
    <col min="8205" max="8205" width="1.85546875" style="245" customWidth="1"/>
    <col min="8206" max="8206" width="14.140625" style="245" customWidth="1"/>
    <col min="8207" max="8207" width="11" style="245" customWidth="1"/>
    <col min="8208" max="8209" width="25" style="245" customWidth="1"/>
    <col min="8210" max="8210" width="1.85546875" style="245" customWidth="1"/>
    <col min="8211" max="8211" width="17.85546875" style="245" customWidth="1"/>
    <col min="8212" max="8212" width="1.85546875" style="245" customWidth="1"/>
    <col min="8213" max="8213" width="19" style="245" customWidth="1"/>
    <col min="8214" max="8214" width="1.85546875" style="245" customWidth="1"/>
    <col min="8215" max="8215" width="16.7109375" style="245" customWidth="1"/>
    <col min="8216" max="8216" width="1.85546875" style="245" customWidth="1"/>
    <col min="8217" max="8217" width="16.7109375" style="245" customWidth="1"/>
    <col min="8218" max="8218" width="1.85546875" style="245" customWidth="1"/>
    <col min="8219" max="8219" width="16.7109375" style="245" customWidth="1"/>
    <col min="8220" max="8220" width="1.85546875" style="245" customWidth="1"/>
    <col min="8221" max="8221" width="16.7109375" style="245" customWidth="1"/>
    <col min="8222" max="8222" width="1.85546875" style="245" customWidth="1"/>
    <col min="8223" max="8223" width="17.85546875" style="245" customWidth="1"/>
    <col min="8224" max="8224" width="5.28515625" style="245" customWidth="1"/>
    <col min="8225" max="8225" width="16.7109375" style="245" customWidth="1"/>
    <col min="8226" max="8226" width="5.28515625" style="245" customWidth="1"/>
    <col min="8227" max="8227" width="14.42578125" style="245" customWidth="1"/>
    <col min="8228" max="8228" width="1.85546875" style="245" customWidth="1"/>
    <col min="8229" max="8229" width="16.7109375" style="245" customWidth="1"/>
    <col min="8230" max="8439" width="11" style="245"/>
    <col min="8440" max="8440" width="7.5703125" style="245" customWidth="1"/>
    <col min="8441" max="8441" width="15.5703125" style="245" customWidth="1"/>
    <col min="8442" max="8442" width="20.140625" style="245" customWidth="1"/>
    <col min="8443" max="8443" width="2.28515625" style="245" customWidth="1"/>
    <col min="8444" max="8444" width="17.42578125" style="245" customWidth="1"/>
    <col min="8445" max="8445" width="1.85546875" style="245" customWidth="1"/>
    <col min="8446" max="8446" width="18.7109375" style="245" customWidth="1"/>
    <col min="8447" max="8447" width="1.85546875" style="245" customWidth="1"/>
    <col min="8448" max="8448" width="23" style="245" customWidth="1"/>
    <col min="8449" max="8449" width="1.85546875" style="245" customWidth="1"/>
    <col min="8450" max="8450" width="17.42578125" style="245" customWidth="1"/>
    <col min="8451" max="8451" width="3" style="245" customWidth="1"/>
    <col min="8452" max="8452" width="16.28515625" style="245" customWidth="1"/>
    <col min="8453" max="8453" width="3" style="245" customWidth="1"/>
    <col min="8454" max="8454" width="14.140625" style="245" customWidth="1"/>
    <col min="8455" max="8455" width="2" style="245" customWidth="1"/>
    <col min="8456" max="8456" width="15.85546875" style="245" customWidth="1"/>
    <col min="8457" max="8457" width="3.140625" style="245" customWidth="1"/>
    <col min="8458" max="8458" width="17.85546875" style="245" customWidth="1"/>
    <col min="8459" max="8459" width="2.5703125" style="245" customWidth="1"/>
    <col min="8460" max="8460" width="15.5703125" style="245" customWidth="1"/>
    <col min="8461" max="8461" width="1.85546875" style="245" customWidth="1"/>
    <col min="8462" max="8462" width="14.140625" style="245" customWidth="1"/>
    <col min="8463" max="8463" width="11" style="245" customWidth="1"/>
    <col min="8464" max="8465" width="25" style="245" customWidth="1"/>
    <col min="8466" max="8466" width="1.85546875" style="245" customWidth="1"/>
    <col min="8467" max="8467" width="17.85546875" style="245" customWidth="1"/>
    <col min="8468" max="8468" width="1.85546875" style="245" customWidth="1"/>
    <col min="8469" max="8469" width="19" style="245" customWidth="1"/>
    <col min="8470" max="8470" width="1.85546875" style="245" customWidth="1"/>
    <col min="8471" max="8471" width="16.7109375" style="245" customWidth="1"/>
    <col min="8472" max="8472" width="1.85546875" style="245" customWidth="1"/>
    <col min="8473" max="8473" width="16.7109375" style="245" customWidth="1"/>
    <col min="8474" max="8474" width="1.85546875" style="245" customWidth="1"/>
    <col min="8475" max="8475" width="16.7109375" style="245" customWidth="1"/>
    <col min="8476" max="8476" width="1.85546875" style="245" customWidth="1"/>
    <col min="8477" max="8477" width="16.7109375" style="245" customWidth="1"/>
    <col min="8478" max="8478" width="1.85546875" style="245" customWidth="1"/>
    <col min="8479" max="8479" width="17.85546875" style="245" customWidth="1"/>
    <col min="8480" max="8480" width="5.28515625" style="245" customWidth="1"/>
    <col min="8481" max="8481" width="16.7109375" style="245" customWidth="1"/>
    <col min="8482" max="8482" width="5.28515625" style="245" customWidth="1"/>
    <col min="8483" max="8483" width="14.42578125" style="245" customWidth="1"/>
    <col min="8484" max="8484" width="1.85546875" style="245" customWidth="1"/>
    <col min="8485" max="8485" width="16.7109375" style="245" customWidth="1"/>
    <col min="8486" max="8695" width="11" style="245"/>
    <col min="8696" max="8696" width="7.5703125" style="245" customWidth="1"/>
    <col min="8697" max="8697" width="15.5703125" style="245" customWidth="1"/>
    <col min="8698" max="8698" width="20.140625" style="245" customWidth="1"/>
    <col min="8699" max="8699" width="2.28515625" style="245" customWidth="1"/>
    <col min="8700" max="8700" width="17.42578125" style="245" customWidth="1"/>
    <col min="8701" max="8701" width="1.85546875" style="245" customWidth="1"/>
    <col min="8702" max="8702" width="18.7109375" style="245" customWidth="1"/>
    <col min="8703" max="8703" width="1.85546875" style="245" customWidth="1"/>
    <col min="8704" max="8704" width="23" style="245" customWidth="1"/>
    <col min="8705" max="8705" width="1.85546875" style="245" customWidth="1"/>
    <col min="8706" max="8706" width="17.42578125" style="245" customWidth="1"/>
    <col min="8707" max="8707" width="3" style="245" customWidth="1"/>
    <col min="8708" max="8708" width="16.28515625" style="245" customWidth="1"/>
    <col min="8709" max="8709" width="3" style="245" customWidth="1"/>
    <col min="8710" max="8710" width="14.140625" style="245" customWidth="1"/>
    <col min="8711" max="8711" width="2" style="245" customWidth="1"/>
    <col min="8712" max="8712" width="15.85546875" style="245" customWidth="1"/>
    <col min="8713" max="8713" width="3.140625" style="245" customWidth="1"/>
    <col min="8714" max="8714" width="17.85546875" style="245" customWidth="1"/>
    <col min="8715" max="8715" width="2.5703125" style="245" customWidth="1"/>
    <col min="8716" max="8716" width="15.5703125" style="245" customWidth="1"/>
    <col min="8717" max="8717" width="1.85546875" style="245" customWidth="1"/>
    <col min="8718" max="8718" width="14.140625" style="245" customWidth="1"/>
    <col min="8719" max="8719" width="11" style="245" customWidth="1"/>
    <col min="8720" max="8721" width="25" style="245" customWidth="1"/>
    <col min="8722" max="8722" width="1.85546875" style="245" customWidth="1"/>
    <col min="8723" max="8723" width="17.85546875" style="245" customWidth="1"/>
    <col min="8724" max="8724" width="1.85546875" style="245" customWidth="1"/>
    <col min="8725" max="8725" width="19" style="245" customWidth="1"/>
    <col min="8726" max="8726" width="1.85546875" style="245" customWidth="1"/>
    <col min="8727" max="8727" width="16.7109375" style="245" customWidth="1"/>
    <col min="8728" max="8728" width="1.85546875" style="245" customWidth="1"/>
    <col min="8729" max="8729" width="16.7109375" style="245" customWidth="1"/>
    <col min="8730" max="8730" width="1.85546875" style="245" customWidth="1"/>
    <col min="8731" max="8731" width="16.7109375" style="245" customWidth="1"/>
    <col min="8732" max="8732" width="1.85546875" style="245" customWidth="1"/>
    <col min="8733" max="8733" width="16.7109375" style="245" customWidth="1"/>
    <col min="8734" max="8734" width="1.85546875" style="245" customWidth="1"/>
    <col min="8735" max="8735" width="17.85546875" style="245" customWidth="1"/>
    <col min="8736" max="8736" width="5.28515625" style="245" customWidth="1"/>
    <col min="8737" max="8737" width="16.7109375" style="245" customWidth="1"/>
    <col min="8738" max="8738" width="5.28515625" style="245" customWidth="1"/>
    <col min="8739" max="8739" width="14.42578125" style="245" customWidth="1"/>
    <col min="8740" max="8740" width="1.85546875" style="245" customWidth="1"/>
    <col min="8741" max="8741" width="16.7109375" style="245" customWidth="1"/>
    <col min="8742" max="8951" width="11" style="245"/>
    <col min="8952" max="8952" width="7.5703125" style="245" customWidth="1"/>
    <col min="8953" max="8953" width="15.5703125" style="245" customWidth="1"/>
    <col min="8954" max="8954" width="20.140625" style="245" customWidth="1"/>
    <col min="8955" max="8955" width="2.28515625" style="245" customWidth="1"/>
    <col min="8956" max="8956" width="17.42578125" style="245" customWidth="1"/>
    <col min="8957" max="8957" width="1.85546875" style="245" customWidth="1"/>
    <col min="8958" max="8958" width="18.7109375" style="245" customWidth="1"/>
    <col min="8959" max="8959" width="1.85546875" style="245" customWidth="1"/>
    <col min="8960" max="8960" width="23" style="245" customWidth="1"/>
    <col min="8961" max="8961" width="1.85546875" style="245" customWidth="1"/>
    <col min="8962" max="8962" width="17.42578125" style="245" customWidth="1"/>
    <col min="8963" max="8963" width="3" style="245" customWidth="1"/>
    <col min="8964" max="8964" width="16.28515625" style="245" customWidth="1"/>
    <col min="8965" max="8965" width="3" style="245" customWidth="1"/>
    <col min="8966" max="8966" width="14.140625" style="245" customWidth="1"/>
    <col min="8967" max="8967" width="2" style="245" customWidth="1"/>
    <col min="8968" max="8968" width="15.85546875" style="245" customWidth="1"/>
    <col min="8969" max="8969" width="3.140625" style="245" customWidth="1"/>
    <col min="8970" max="8970" width="17.85546875" style="245" customWidth="1"/>
    <col min="8971" max="8971" width="2.5703125" style="245" customWidth="1"/>
    <col min="8972" max="8972" width="15.5703125" style="245" customWidth="1"/>
    <col min="8973" max="8973" width="1.85546875" style="245" customWidth="1"/>
    <col min="8974" max="8974" width="14.140625" style="245" customWidth="1"/>
    <col min="8975" max="8975" width="11" style="245" customWidth="1"/>
    <col min="8976" max="8977" width="25" style="245" customWidth="1"/>
    <col min="8978" max="8978" width="1.85546875" style="245" customWidth="1"/>
    <col min="8979" max="8979" width="17.85546875" style="245" customWidth="1"/>
    <col min="8980" max="8980" width="1.85546875" style="245" customWidth="1"/>
    <col min="8981" max="8981" width="19" style="245" customWidth="1"/>
    <col min="8982" max="8982" width="1.85546875" style="245" customWidth="1"/>
    <col min="8983" max="8983" width="16.7109375" style="245" customWidth="1"/>
    <col min="8984" max="8984" width="1.85546875" style="245" customWidth="1"/>
    <col min="8985" max="8985" width="16.7109375" style="245" customWidth="1"/>
    <col min="8986" max="8986" width="1.85546875" style="245" customWidth="1"/>
    <col min="8987" max="8987" width="16.7109375" style="245" customWidth="1"/>
    <col min="8988" max="8988" width="1.85546875" style="245" customWidth="1"/>
    <col min="8989" max="8989" width="16.7109375" style="245" customWidth="1"/>
    <col min="8990" max="8990" width="1.85546875" style="245" customWidth="1"/>
    <col min="8991" max="8991" width="17.85546875" style="245" customWidth="1"/>
    <col min="8992" max="8992" width="5.28515625" style="245" customWidth="1"/>
    <col min="8993" max="8993" width="16.7109375" style="245" customWidth="1"/>
    <col min="8994" max="8994" width="5.28515625" style="245" customWidth="1"/>
    <col min="8995" max="8995" width="14.42578125" style="245" customWidth="1"/>
    <col min="8996" max="8996" width="1.85546875" style="245" customWidth="1"/>
    <col min="8997" max="8997" width="16.7109375" style="245" customWidth="1"/>
    <col min="8998" max="9207" width="11" style="245"/>
    <col min="9208" max="9208" width="7.5703125" style="245" customWidth="1"/>
    <col min="9209" max="9209" width="15.5703125" style="245" customWidth="1"/>
    <col min="9210" max="9210" width="20.140625" style="245" customWidth="1"/>
    <col min="9211" max="9211" width="2.28515625" style="245" customWidth="1"/>
    <col min="9212" max="9212" width="17.42578125" style="245" customWidth="1"/>
    <col min="9213" max="9213" width="1.85546875" style="245" customWidth="1"/>
    <col min="9214" max="9214" width="18.7109375" style="245" customWidth="1"/>
    <col min="9215" max="9215" width="1.85546875" style="245" customWidth="1"/>
    <col min="9216" max="9216" width="23" style="245" customWidth="1"/>
    <col min="9217" max="9217" width="1.85546875" style="245" customWidth="1"/>
    <col min="9218" max="9218" width="17.42578125" style="245" customWidth="1"/>
    <col min="9219" max="9219" width="3" style="245" customWidth="1"/>
    <col min="9220" max="9220" width="16.28515625" style="245" customWidth="1"/>
    <col min="9221" max="9221" width="3" style="245" customWidth="1"/>
    <col min="9222" max="9222" width="14.140625" style="245" customWidth="1"/>
    <col min="9223" max="9223" width="2" style="245" customWidth="1"/>
    <col min="9224" max="9224" width="15.85546875" style="245" customWidth="1"/>
    <col min="9225" max="9225" width="3.140625" style="245" customWidth="1"/>
    <col min="9226" max="9226" width="17.85546875" style="245" customWidth="1"/>
    <col min="9227" max="9227" width="2.5703125" style="245" customWidth="1"/>
    <col min="9228" max="9228" width="15.5703125" style="245" customWidth="1"/>
    <col min="9229" max="9229" width="1.85546875" style="245" customWidth="1"/>
    <col min="9230" max="9230" width="14.140625" style="245" customWidth="1"/>
    <col min="9231" max="9231" width="11" style="245" customWidth="1"/>
    <col min="9232" max="9233" width="25" style="245" customWidth="1"/>
    <col min="9234" max="9234" width="1.85546875" style="245" customWidth="1"/>
    <col min="9235" max="9235" width="17.85546875" style="245" customWidth="1"/>
    <col min="9236" max="9236" width="1.85546875" style="245" customWidth="1"/>
    <col min="9237" max="9237" width="19" style="245" customWidth="1"/>
    <col min="9238" max="9238" width="1.85546875" style="245" customWidth="1"/>
    <col min="9239" max="9239" width="16.7109375" style="245" customWidth="1"/>
    <col min="9240" max="9240" width="1.85546875" style="245" customWidth="1"/>
    <col min="9241" max="9241" width="16.7109375" style="245" customWidth="1"/>
    <col min="9242" max="9242" width="1.85546875" style="245" customWidth="1"/>
    <col min="9243" max="9243" width="16.7109375" style="245" customWidth="1"/>
    <col min="9244" max="9244" width="1.85546875" style="245" customWidth="1"/>
    <col min="9245" max="9245" width="16.7109375" style="245" customWidth="1"/>
    <col min="9246" max="9246" width="1.85546875" style="245" customWidth="1"/>
    <col min="9247" max="9247" width="17.85546875" style="245" customWidth="1"/>
    <col min="9248" max="9248" width="5.28515625" style="245" customWidth="1"/>
    <col min="9249" max="9249" width="16.7109375" style="245" customWidth="1"/>
    <col min="9250" max="9250" width="5.28515625" style="245" customWidth="1"/>
    <col min="9251" max="9251" width="14.42578125" style="245" customWidth="1"/>
    <col min="9252" max="9252" width="1.85546875" style="245" customWidth="1"/>
    <col min="9253" max="9253" width="16.7109375" style="245" customWidth="1"/>
    <col min="9254" max="9463" width="11" style="245"/>
    <col min="9464" max="9464" width="7.5703125" style="245" customWidth="1"/>
    <col min="9465" max="9465" width="15.5703125" style="245" customWidth="1"/>
    <col min="9466" max="9466" width="20.140625" style="245" customWidth="1"/>
    <col min="9467" max="9467" width="2.28515625" style="245" customWidth="1"/>
    <col min="9468" max="9468" width="17.42578125" style="245" customWidth="1"/>
    <col min="9469" max="9469" width="1.85546875" style="245" customWidth="1"/>
    <col min="9470" max="9470" width="18.7109375" style="245" customWidth="1"/>
    <col min="9471" max="9471" width="1.85546875" style="245" customWidth="1"/>
    <col min="9472" max="9472" width="23" style="245" customWidth="1"/>
    <col min="9473" max="9473" width="1.85546875" style="245" customWidth="1"/>
    <col min="9474" max="9474" width="17.42578125" style="245" customWidth="1"/>
    <col min="9475" max="9475" width="3" style="245" customWidth="1"/>
    <col min="9476" max="9476" width="16.28515625" style="245" customWidth="1"/>
    <col min="9477" max="9477" width="3" style="245" customWidth="1"/>
    <col min="9478" max="9478" width="14.140625" style="245" customWidth="1"/>
    <col min="9479" max="9479" width="2" style="245" customWidth="1"/>
    <col min="9480" max="9480" width="15.85546875" style="245" customWidth="1"/>
    <col min="9481" max="9481" width="3.140625" style="245" customWidth="1"/>
    <col min="9482" max="9482" width="17.85546875" style="245" customWidth="1"/>
    <col min="9483" max="9483" width="2.5703125" style="245" customWidth="1"/>
    <col min="9484" max="9484" width="15.5703125" style="245" customWidth="1"/>
    <col min="9485" max="9485" width="1.85546875" style="245" customWidth="1"/>
    <col min="9486" max="9486" width="14.140625" style="245" customWidth="1"/>
    <col min="9487" max="9487" width="11" style="245" customWidth="1"/>
    <col min="9488" max="9489" width="25" style="245" customWidth="1"/>
    <col min="9490" max="9490" width="1.85546875" style="245" customWidth="1"/>
    <col min="9491" max="9491" width="17.85546875" style="245" customWidth="1"/>
    <col min="9492" max="9492" width="1.85546875" style="245" customWidth="1"/>
    <col min="9493" max="9493" width="19" style="245" customWidth="1"/>
    <col min="9494" max="9494" width="1.85546875" style="245" customWidth="1"/>
    <col min="9495" max="9495" width="16.7109375" style="245" customWidth="1"/>
    <col min="9496" max="9496" width="1.85546875" style="245" customWidth="1"/>
    <col min="9497" max="9497" width="16.7109375" style="245" customWidth="1"/>
    <col min="9498" max="9498" width="1.85546875" style="245" customWidth="1"/>
    <col min="9499" max="9499" width="16.7109375" style="245" customWidth="1"/>
    <col min="9500" max="9500" width="1.85546875" style="245" customWidth="1"/>
    <col min="9501" max="9501" width="16.7109375" style="245" customWidth="1"/>
    <col min="9502" max="9502" width="1.85546875" style="245" customWidth="1"/>
    <col min="9503" max="9503" width="17.85546875" style="245" customWidth="1"/>
    <col min="9504" max="9504" width="5.28515625" style="245" customWidth="1"/>
    <col min="9505" max="9505" width="16.7109375" style="245" customWidth="1"/>
    <col min="9506" max="9506" width="5.28515625" style="245" customWidth="1"/>
    <col min="9507" max="9507" width="14.42578125" style="245" customWidth="1"/>
    <col min="9508" max="9508" width="1.85546875" style="245" customWidth="1"/>
    <col min="9509" max="9509" width="16.7109375" style="245" customWidth="1"/>
    <col min="9510" max="9719" width="11" style="245"/>
    <col min="9720" max="9720" width="7.5703125" style="245" customWidth="1"/>
    <col min="9721" max="9721" width="15.5703125" style="245" customWidth="1"/>
    <col min="9722" max="9722" width="20.140625" style="245" customWidth="1"/>
    <col min="9723" max="9723" width="2.28515625" style="245" customWidth="1"/>
    <col min="9724" max="9724" width="17.42578125" style="245" customWidth="1"/>
    <col min="9725" max="9725" width="1.85546875" style="245" customWidth="1"/>
    <col min="9726" max="9726" width="18.7109375" style="245" customWidth="1"/>
    <col min="9727" max="9727" width="1.85546875" style="245" customWidth="1"/>
    <col min="9728" max="9728" width="23" style="245" customWidth="1"/>
    <col min="9729" max="9729" width="1.85546875" style="245" customWidth="1"/>
    <col min="9730" max="9730" width="17.42578125" style="245" customWidth="1"/>
    <col min="9731" max="9731" width="3" style="245" customWidth="1"/>
    <col min="9732" max="9732" width="16.28515625" style="245" customWidth="1"/>
    <col min="9733" max="9733" width="3" style="245" customWidth="1"/>
    <col min="9734" max="9734" width="14.140625" style="245" customWidth="1"/>
    <col min="9735" max="9735" width="2" style="245" customWidth="1"/>
    <col min="9736" max="9736" width="15.85546875" style="245" customWidth="1"/>
    <col min="9737" max="9737" width="3.140625" style="245" customWidth="1"/>
    <col min="9738" max="9738" width="17.85546875" style="245" customWidth="1"/>
    <col min="9739" max="9739" width="2.5703125" style="245" customWidth="1"/>
    <col min="9740" max="9740" width="15.5703125" style="245" customWidth="1"/>
    <col min="9741" max="9741" width="1.85546875" style="245" customWidth="1"/>
    <col min="9742" max="9742" width="14.140625" style="245" customWidth="1"/>
    <col min="9743" max="9743" width="11" style="245" customWidth="1"/>
    <col min="9744" max="9745" width="25" style="245" customWidth="1"/>
    <col min="9746" max="9746" width="1.85546875" style="245" customWidth="1"/>
    <col min="9747" max="9747" width="17.85546875" style="245" customWidth="1"/>
    <col min="9748" max="9748" width="1.85546875" style="245" customWidth="1"/>
    <col min="9749" max="9749" width="19" style="245" customWidth="1"/>
    <col min="9750" max="9750" width="1.85546875" style="245" customWidth="1"/>
    <col min="9751" max="9751" width="16.7109375" style="245" customWidth="1"/>
    <col min="9752" max="9752" width="1.85546875" style="245" customWidth="1"/>
    <col min="9753" max="9753" width="16.7109375" style="245" customWidth="1"/>
    <col min="9754" max="9754" width="1.85546875" style="245" customWidth="1"/>
    <col min="9755" max="9755" width="16.7109375" style="245" customWidth="1"/>
    <col min="9756" max="9756" width="1.85546875" style="245" customWidth="1"/>
    <col min="9757" max="9757" width="16.7109375" style="245" customWidth="1"/>
    <col min="9758" max="9758" width="1.85546875" style="245" customWidth="1"/>
    <col min="9759" max="9759" width="17.85546875" style="245" customWidth="1"/>
    <col min="9760" max="9760" width="5.28515625" style="245" customWidth="1"/>
    <col min="9761" max="9761" width="16.7109375" style="245" customWidth="1"/>
    <col min="9762" max="9762" width="5.28515625" style="245" customWidth="1"/>
    <col min="9763" max="9763" width="14.42578125" style="245" customWidth="1"/>
    <col min="9764" max="9764" width="1.85546875" style="245" customWidth="1"/>
    <col min="9765" max="9765" width="16.7109375" style="245" customWidth="1"/>
    <col min="9766" max="9975" width="11" style="245"/>
    <col min="9976" max="9976" width="7.5703125" style="245" customWidth="1"/>
    <col min="9977" max="9977" width="15.5703125" style="245" customWidth="1"/>
    <col min="9978" max="9978" width="20.140625" style="245" customWidth="1"/>
    <col min="9979" max="9979" width="2.28515625" style="245" customWidth="1"/>
    <col min="9980" max="9980" width="17.42578125" style="245" customWidth="1"/>
    <col min="9981" max="9981" width="1.85546875" style="245" customWidth="1"/>
    <col min="9982" max="9982" width="18.7109375" style="245" customWidth="1"/>
    <col min="9983" max="9983" width="1.85546875" style="245" customWidth="1"/>
    <col min="9984" max="9984" width="23" style="245" customWidth="1"/>
    <col min="9985" max="9985" width="1.85546875" style="245" customWidth="1"/>
    <col min="9986" max="9986" width="17.42578125" style="245" customWidth="1"/>
    <col min="9987" max="9987" width="3" style="245" customWidth="1"/>
    <col min="9988" max="9988" width="16.28515625" style="245" customWidth="1"/>
    <col min="9989" max="9989" width="3" style="245" customWidth="1"/>
    <col min="9990" max="9990" width="14.140625" style="245" customWidth="1"/>
    <col min="9991" max="9991" width="2" style="245" customWidth="1"/>
    <col min="9992" max="9992" width="15.85546875" style="245" customWidth="1"/>
    <col min="9993" max="9993" width="3.140625" style="245" customWidth="1"/>
    <col min="9994" max="9994" width="17.85546875" style="245" customWidth="1"/>
    <col min="9995" max="9995" width="2.5703125" style="245" customWidth="1"/>
    <col min="9996" max="9996" width="15.5703125" style="245" customWidth="1"/>
    <col min="9997" max="9997" width="1.85546875" style="245" customWidth="1"/>
    <col min="9998" max="9998" width="14.140625" style="245" customWidth="1"/>
    <col min="9999" max="9999" width="11" style="245" customWidth="1"/>
    <col min="10000" max="10001" width="25" style="245" customWidth="1"/>
    <col min="10002" max="10002" width="1.85546875" style="245" customWidth="1"/>
    <col min="10003" max="10003" width="17.85546875" style="245" customWidth="1"/>
    <col min="10004" max="10004" width="1.85546875" style="245" customWidth="1"/>
    <col min="10005" max="10005" width="19" style="245" customWidth="1"/>
    <col min="10006" max="10006" width="1.85546875" style="245" customWidth="1"/>
    <col min="10007" max="10007" width="16.7109375" style="245" customWidth="1"/>
    <col min="10008" max="10008" width="1.85546875" style="245" customWidth="1"/>
    <col min="10009" max="10009" width="16.7109375" style="245" customWidth="1"/>
    <col min="10010" max="10010" width="1.85546875" style="245" customWidth="1"/>
    <col min="10011" max="10011" width="16.7109375" style="245" customWidth="1"/>
    <col min="10012" max="10012" width="1.85546875" style="245" customWidth="1"/>
    <col min="10013" max="10013" width="16.7109375" style="245" customWidth="1"/>
    <col min="10014" max="10014" width="1.85546875" style="245" customWidth="1"/>
    <col min="10015" max="10015" width="17.85546875" style="245" customWidth="1"/>
    <col min="10016" max="10016" width="5.28515625" style="245" customWidth="1"/>
    <col min="10017" max="10017" width="16.7109375" style="245" customWidth="1"/>
    <col min="10018" max="10018" width="5.28515625" style="245" customWidth="1"/>
    <col min="10019" max="10019" width="14.42578125" style="245" customWidth="1"/>
    <col min="10020" max="10020" width="1.85546875" style="245" customWidth="1"/>
    <col min="10021" max="10021" width="16.7109375" style="245" customWidth="1"/>
    <col min="10022" max="10231" width="11" style="245"/>
    <col min="10232" max="10232" width="7.5703125" style="245" customWidth="1"/>
    <col min="10233" max="10233" width="15.5703125" style="245" customWidth="1"/>
    <col min="10234" max="10234" width="20.140625" style="245" customWidth="1"/>
    <col min="10235" max="10235" width="2.28515625" style="245" customWidth="1"/>
    <col min="10236" max="10236" width="17.42578125" style="245" customWidth="1"/>
    <col min="10237" max="10237" width="1.85546875" style="245" customWidth="1"/>
    <col min="10238" max="10238" width="18.7109375" style="245" customWidth="1"/>
    <col min="10239" max="10239" width="1.85546875" style="245" customWidth="1"/>
    <col min="10240" max="10240" width="23" style="245" customWidth="1"/>
    <col min="10241" max="10241" width="1.85546875" style="245" customWidth="1"/>
    <col min="10242" max="10242" width="17.42578125" style="245" customWidth="1"/>
    <col min="10243" max="10243" width="3" style="245" customWidth="1"/>
    <col min="10244" max="10244" width="16.28515625" style="245" customWidth="1"/>
    <col min="10245" max="10245" width="3" style="245" customWidth="1"/>
    <col min="10246" max="10246" width="14.140625" style="245" customWidth="1"/>
    <col min="10247" max="10247" width="2" style="245" customWidth="1"/>
    <col min="10248" max="10248" width="15.85546875" style="245" customWidth="1"/>
    <col min="10249" max="10249" width="3.140625" style="245" customWidth="1"/>
    <col min="10250" max="10250" width="17.85546875" style="245" customWidth="1"/>
    <col min="10251" max="10251" width="2.5703125" style="245" customWidth="1"/>
    <col min="10252" max="10252" width="15.5703125" style="245" customWidth="1"/>
    <col min="10253" max="10253" width="1.85546875" style="245" customWidth="1"/>
    <col min="10254" max="10254" width="14.140625" style="245" customWidth="1"/>
    <col min="10255" max="10255" width="11" style="245" customWidth="1"/>
    <col min="10256" max="10257" width="25" style="245" customWidth="1"/>
    <col min="10258" max="10258" width="1.85546875" style="245" customWidth="1"/>
    <col min="10259" max="10259" width="17.85546875" style="245" customWidth="1"/>
    <col min="10260" max="10260" width="1.85546875" style="245" customWidth="1"/>
    <col min="10261" max="10261" width="19" style="245" customWidth="1"/>
    <col min="10262" max="10262" width="1.85546875" style="245" customWidth="1"/>
    <col min="10263" max="10263" width="16.7109375" style="245" customWidth="1"/>
    <col min="10264" max="10264" width="1.85546875" style="245" customWidth="1"/>
    <col min="10265" max="10265" width="16.7109375" style="245" customWidth="1"/>
    <col min="10266" max="10266" width="1.85546875" style="245" customWidth="1"/>
    <col min="10267" max="10267" width="16.7109375" style="245" customWidth="1"/>
    <col min="10268" max="10268" width="1.85546875" style="245" customWidth="1"/>
    <col min="10269" max="10269" width="16.7109375" style="245" customWidth="1"/>
    <col min="10270" max="10270" width="1.85546875" style="245" customWidth="1"/>
    <col min="10271" max="10271" width="17.85546875" style="245" customWidth="1"/>
    <col min="10272" max="10272" width="5.28515625" style="245" customWidth="1"/>
    <col min="10273" max="10273" width="16.7109375" style="245" customWidth="1"/>
    <col min="10274" max="10274" width="5.28515625" style="245" customWidth="1"/>
    <col min="10275" max="10275" width="14.42578125" style="245" customWidth="1"/>
    <col min="10276" max="10276" width="1.85546875" style="245" customWidth="1"/>
    <col min="10277" max="10277" width="16.7109375" style="245" customWidth="1"/>
    <col min="10278" max="10487" width="11" style="245"/>
    <col min="10488" max="10488" width="7.5703125" style="245" customWidth="1"/>
    <col min="10489" max="10489" width="15.5703125" style="245" customWidth="1"/>
    <col min="10490" max="10490" width="20.140625" style="245" customWidth="1"/>
    <col min="10491" max="10491" width="2.28515625" style="245" customWidth="1"/>
    <col min="10492" max="10492" width="17.42578125" style="245" customWidth="1"/>
    <col min="10493" max="10493" width="1.85546875" style="245" customWidth="1"/>
    <col min="10494" max="10494" width="18.7109375" style="245" customWidth="1"/>
    <col min="10495" max="10495" width="1.85546875" style="245" customWidth="1"/>
    <col min="10496" max="10496" width="23" style="245" customWidth="1"/>
    <col min="10497" max="10497" width="1.85546875" style="245" customWidth="1"/>
    <col min="10498" max="10498" width="17.42578125" style="245" customWidth="1"/>
    <col min="10499" max="10499" width="3" style="245" customWidth="1"/>
    <col min="10500" max="10500" width="16.28515625" style="245" customWidth="1"/>
    <col min="10501" max="10501" width="3" style="245" customWidth="1"/>
    <col min="10502" max="10502" width="14.140625" style="245" customWidth="1"/>
    <col min="10503" max="10503" width="2" style="245" customWidth="1"/>
    <col min="10504" max="10504" width="15.85546875" style="245" customWidth="1"/>
    <col min="10505" max="10505" width="3.140625" style="245" customWidth="1"/>
    <col min="10506" max="10506" width="17.85546875" style="245" customWidth="1"/>
    <col min="10507" max="10507" width="2.5703125" style="245" customWidth="1"/>
    <col min="10508" max="10508" width="15.5703125" style="245" customWidth="1"/>
    <col min="10509" max="10509" width="1.85546875" style="245" customWidth="1"/>
    <col min="10510" max="10510" width="14.140625" style="245" customWidth="1"/>
    <col min="10511" max="10511" width="11" style="245" customWidth="1"/>
    <col min="10512" max="10513" width="25" style="245" customWidth="1"/>
    <col min="10514" max="10514" width="1.85546875" style="245" customWidth="1"/>
    <col min="10515" max="10515" width="17.85546875" style="245" customWidth="1"/>
    <col min="10516" max="10516" width="1.85546875" style="245" customWidth="1"/>
    <col min="10517" max="10517" width="19" style="245" customWidth="1"/>
    <col min="10518" max="10518" width="1.85546875" style="245" customWidth="1"/>
    <col min="10519" max="10519" width="16.7109375" style="245" customWidth="1"/>
    <col min="10520" max="10520" width="1.85546875" style="245" customWidth="1"/>
    <col min="10521" max="10521" width="16.7109375" style="245" customWidth="1"/>
    <col min="10522" max="10522" width="1.85546875" style="245" customWidth="1"/>
    <col min="10523" max="10523" width="16.7109375" style="245" customWidth="1"/>
    <col min="10524" max="10524" width="1.85546875" style="245" customWidth="1"/>
    <col min="10525" max="10525" width="16.7109375" style="245" customWidth="1"/>
    <col min="10526" max="10526" width="1.85546875" style="245" customWidth="1"/>
    <col min="10527" max="10527" width="17.85546875" style="245" customWidth="1"/>
    <col min="10528" max="10528" width="5.28515625" style="245" customWidth="1"/>
    <col min="10529" max="10529" width="16.7109375" style="245" customWidth="1"/>
    <col min="10530" max="10530" width="5.28515625" style="245" customWidth="1"/>
    <col min="10531" max="10531" width="14.42578125" style="245" customWidth="1"/>
    <col min="10532" max="10532" width="1.85546875" style="245" customWidth="1"/>
    <col min="10533" max="10533" width="16.7109375" style="245" customWidth="1"/>
    <col min="10534" max="10743" width="11" style="245"/>
    <col min="10744" max="10744" width="7.5703125" style="245" customWidth="1"/>
    <col min="10745" max="10745" width="15.5703125" style="245" customWidth="1"/>
    <col min="10746" max="10746" width="20.140625" style="245" customWidth="1"/>
    <col min="10747" max="10747" width="2.28515625" style="245" customWidth="1"/>
    <col min="10748" max="10748" width="17.42578125" style="245" customWidth="1"/>
    <col min="10749" max="10749" width="1.85546875" style="245" customWidth="1"/>
    <col min="10750" max="10750" width="18.7109375" style="245" customWidth="1"/>
    <col min="10751" max="10751" width="1.85546875" style="245" customWidth="1"/>
    <col min="10752" max="10752" width="23" style="245" customWidth="1"/>
    <col min="10753" max="10753" width="1.85546875" style="245" customWidth="1"/>
    <col min="10754" max="10754" width="17.42578125" style="245" customWidth="1"/>
    <col min="10755" max="10755" width="3" style="245" customWidth="1"/>
    <col min="10756" max="10756" width="16.28515625" style="245" customWidth="1"/>
    <col min="10757" max="10757" width="3" style="245" customWidth="1"/>
    <col min="10758" max="10758" width="14.140625" style="245" customWidth="1"/>
    <col min="10759" max="10759" width="2" style="245" customWidth="1"/>
    <col min="10760" max="10760" width="15.85546875" style="245" customWidth="1"/>
    <col min="10761" max="10761" width="3.140625" style="245" customWidth="1"/>
    <col min="10762" max="10762" width="17.85546875" style="245" customWidth="1"/>
    <col min="10763" max="10763" width="2.5703125" style="245" customWidth="1"/>
    <col min="10764" max="10764" width="15.5703125" style="245" customWidth="1"/>
    <col min="10765" max="10765" width="1.85546875" style="245" customWidth="1"/>
    <col min="10766" max="10766" width="14.140625" style="245" customWidth="1"/>
    <col min="10767" max="10767" width="11" style="245" customWidth="1"/>
    <col min="10768" max="10769" width="25" style="245" customWidth="1"/>
    <col min="10770" max="10770" width="1.85546875" style="245" customWidth="1"/>
    <col min="10771" max="10771" width="17.85546875" style="245" customWidth="1"/>
    <col min="10772" max="10772" width="1.85546875" style="245" customWidth="1"/>
    <col min="10773" max="10773" width="19" style="245" customWidth="1"/>
    <col min="10774" max="10774" width="1.85546875" style="245" customWidth="1"/>
    <col min="10775" max="10775" width="16.7109375" style="245" customWidth="1"/>
    <col min="10776" max="10776" width="1.85546875" style="245" customWidth="1"/>
    <col min="10777" max="10777" width="16.7109375" style="245" customWidth="1"/>
    <col min="10778" max="10778" width="1.85546875" style="245" customWidth="1"/>
    <col min="10779" max="10779" width="16.7109375" style="245" customWidth="1"/>
    <col min="10780" max="10780" width="1.85546875" style="245" customWidth="1"/>
    <col min="10781" max="10781" width="16.7109375" style="245" customWidth="1"/>
    <col min="10782" max="10782" width="1.85546875" style="245" customWidth="1"/>
    <col min="10783" max="10783" width="17.85546875" style="245" customWidth="1"/>
    <col min="10784" max="10784" width="5.28515625" style="245" customWidth="1"/>
    <col min="10785" max="10785" width="16.7109375" style="245" customWidth="1"/>
    <col min="10786" max="10786" width="5.28515625" style="245" customWidth="1"/>
    <col min="10787" max="10787" width="14.42578125" style="245" customWidth="1"/>
    <col min="10788" max="10788" width="1.85546875" style="245" customWidth="1"/>
    <col min="10789" max="10789" width="16.7109375" style="245" customWidth="1"/>
    <col min="10790" max="10999" width="11" style="245"/>
    <col min="11000" max="11000" width="7.5703125" style="245" customWidth="1"/>
    <col min="11001" max="11001" width="15.5703125" style="245" customWidth="1"/>
    <col min="11002" max="11002" width="20.140625" style="245" customWidth="1"/>
    <col min="11003" max="11003" width="2.28515625" style="245" customWidth="1"/>
    <col min="11004" max="11004" width="17.42578125" style="245" customWidth="1"/>
    <col min="11005" max="11005" width="1.85546875" style="245" customWidth="1"/>
    <col min="11006" max="11006" width="18.7109375" style="245" customWidth="1"/>
    <col min="11007" max="11007" width="1.85546875" style="245" customWidth="1"/>
    <col min="11008" max="11008" width="23" style="245" customWidth="1"/>
    <col min="11009" max="11009" width="1.85546875" style="245" customWidth="1"/>
    <col min="11010" max="11010" width="17.42578125" style="245" customWidth="1"/>
    <col min="11011" max="11011" width="3" style="245" customWidth="1"/>
    <col min="11012" max="11012" width="16.28515625" style="245" customWidth="1"/>
    <col min="11013" max="11013" width="3" style="245" customWidth="1"/>
    <col min="11014" max="11014" width="14.140625" style="245" customWidth="1"/>
    <col min="11015" max="11015" width="2" style="245" customWidth="1"/>
    <col min="11016" max="11016" width="15.85546875" style="245" customWidth="1"/>
    <col min="11017" max="11017" width="3.140625" style="245" customWidth="1"/>
    <col min="11018" max="11018" width="17.85546875" style="245" customWidth="1"/>
    <col min="11019" max="11019" width="2.5703125" style="245" customWidth="1"/>
    <col min="11020" max="11020" width="15.5703125" style="245" customWidth="1"/>
    <col min="11021" max="11021" width="1.85546875" style="245" customWidth="1"/>
    <col min="11022" max="11022" width="14.140625" style="245" customWidth="1"/>
    <col min="11023" max="11023" width="11" style="245" customWidth="1"/>
    <col min="11024" max="11025" width="25" style="245" customWidth="1"/>
    <col min="11026" max="11026" width="1.85546875" style="245" customWidth="1"/>
    <col min="11027" max="11027" width="17.85546875" style="245" customWidth="1"/>
    <col min="11028" max="11028" width="1.85546875" style="245" customWidth="1"/>
    <col min="11029" max="11029" width="19" style="245" customWidth="1"/>
    <col min="11030" max="11030" width="1.85546875" style="245" customWidth="1"/>
    <col min="11031" max="11031" width="16.7109375" style="245" customWidth="1"/>
    <col min="11032" max="11032" width="1.85546875" style="245" customWidth="1"/>
    <col min="11033" max="11033" width="16.7109375" style="245" customWidth="1"/>
    <col min="11034" max="11034" width="1.85546875" style="245" customWidth="1"/>
    <col min="11035" max="11035" width="16.7109375" style="245" customWidth="1"/>
    <col min="11036" max="11036" width="1.85546875" style="245" customWidth="1"/>
    <col min="11037" max="11037" width="16.7109375" style="245" customWidth="1"/>
    <col min="11038" max="11038" width="1.85546875" style="245" customWidth="1"/>
    <col min="11039" max="11039" width="17.85546875" style="245" customWidth="1"/>
    <col min="11040" max="11040" width="5.28515625" style="245" customWidth="1"/>
    <col min="11041" max="11041" width="16.7109375" style="245" customWidth="1"/>
    <col min="11042" max="11042" width="5.28515625" style="245" customWidth="1"/>
    <col min="11043" max="11043" width="14.42578125" style="245" customWidth="1"/>
    <col min="11044" max="11044" width="1.85546875" style="245" customWidth="1"/>
    <col min="11045" max="11045" width="16.7109375" style="245" customWidth="1"/>
    <col min="11046" max="11255" width="11" style="245"/>
    <col min="11256" max="11256" width="7.5703125" style="245" customWidth="1"/>
    <col min="11257" max="11257" width="15.5703125" style="245" customWidth="1"/>
    <col min="11258" max="11258" width="20.140625" style="245" customWidth="1"/>
    <col min="11259" max="11259" width="2.28515625" style="245" customWidth="1"/>
    <col min="11260" max="11260" width="17.42578125" style="245" customWidth="1"/>
    <col min="11261" max="11261" width="1.85546875" style="245" customWidth="1"/>
    <col min="11262" max="11262" width="18.7109375" style="245" customWidth="1"/>
    <col min="11263" max="11263" width="1.85546875" style="245" customWidth="1"/>
    <col min="11264" max="11264" width="23" style="245" customWidth="1"/>
    <col min="11265" max="11265" width="1.85546875" style="245" customWidth="1"/>
    <col min="11266" max="11266" width="17.42578125" style="245" customWidth="1"/>
    <col min="11267" max="11267" width="3" style="245" customWidth="1"/>
    <col min="11268" max="11268" width="16.28515625" style="245" customWidth="1"/>
    <col min="11269" max="11269" width="3" style="245" customWidth="1"/>
    <col min="11270" max="11270" width="14.140625" style="245" customWidth="1"/>
    <col min="11271" max="11271" width="2" style="245" customWidth="1"/>
    <col min="11272" max="11272" width="15.85546875" style="245" customWidth="1"/>
    <col min="11273" max="11273" width="3.140625" style="245" customWidth="1"/>
    <col min="11274" max="11274" width="17.85546875" style="245" customWidth="1"/>
    <col min="11275" max="11275" width="2.5703125" style="245" customWidth="1"/>
    <col min="11276" max="11276" width="15.5703125" style="245" customWidth="1"/>
    <col min="11277" max="11277" width="1.85546875" style="245" customWidth="1"/>
    <col min="11278" max="11278" width="14.140625" style="245" customWidth="1"/>
    <col min="11279" max="11279" width="11" style="245" customWidth="1"/>
    <col min="11280" max="11281" width="25" style="245" customWidth="1"/>
    <col min="11282" max="11282" width="1.85546875" style="245" customWidth="1"/>
    <col min="11283" max="11283" width="17.85546875" style="245" customWidth="1"/>
    <col min="11284" max="11284" width="1.85546875" style="245" customWidth="1"/>
    <col min="11285" max="11285" width="19" style="245" customWidth="1"/>
    <col min="11286" max="11286" width="1.85546875" style="245" customWidth="1"/>
    <col min="11287" max="11287" width="16.7109375" style="245" customWidth="1"/>
    <col min="11288" max="11288" width="1.85546875" style="245" customWidth="1"/>
    <col min="11289" max="11289" width="16.7109375" style="245" customWidth="1"/>
    <col min="11290" max="11290" width="1.85546875" style="245" customWidth="1"/>
    <col min="11291" max="11291" width="16.7109375" style="245" customWidth="1"/>
    <col min="11292" max="11292" width="1.85546875" style="245" customWidth="1"/>
    <col min="11293" max="11293" width="16.7109375" style="245" customWidth="1"/>
    <col min="11294" max="11294" width="1.85546875" style="245" customWidth="1"/>
    <col min="11295" max="11295" width="17.85546875" style="245" customWidth="1"/>
    <col min="11296" max="11296" width="5.28515625" style="245" customWidth="1"/>
    <col min="11297" max="11297" width="16.7109375" style="245" customWidth="1"/>
    <col min="11298" max="11298" width="5.28515625" style="245" customWidth="1"/>
    <col min="11299" max="11299" width="14.42578125" style="245" customWidth="1"/>
    <col min="11300" max="11300" width="1.85546875" style="245" customWidth="1"/>
    <col min="11301" max="11301" width="16.7109375" style="245" customWidth="1"/>
    <col min="11302" max="11511" width="11" style="245"/>
    <col min="11512" max="11512" width="7.5703125" style="245" customWidth="1"/>
    <col min="11513" max="11513" width="15.5703125" style="245" customWidth="1"/>
    <col min="11514" max="11514" width="20.140625" style="245" customWidth="1"/>
    <col min="11515" max="11515" width="2.28515625" style="245" customWidth="1"/>
    <col min="11516" max="11516" width="17.42578125" style="245" customWidth="1"/>
    <col min="11517" max="11517" width="1.85546875" style="245" customWidth="1"/>
    <col min="11518" max="11518" width="18.7109375" style="245" customWidth="1"/>
    <col min="11519" max="11519" width="1.85546875" style="245" customWidth="1"/>
    <col min="11520" max="11520" width="23" style="245" customWidth="1"/>
    <col min="11521" max="11521" width="1.85546875" style="245" customWidth="1"/>
    <col min="11522" max="11522" width="17.42578125" style="245" customWidth="1"/>
    <col min="11523" max="11523" width="3" style="245" customWidth="1"/>
    <col min="11524" max="11524" width="16.28515625" style="245" customWidth="1"/>
    <col min="11525" max="11525" width="3" style="245" customWidth="1"/>
    <col min="11526" max="11526" width="14.140625" style="245" customWidth="1"/>
    <col min="11527" max="11527" width="2" style="245" customWidth="1"/>
    <col min="11528" max="11528" width="15.85546875" style="245" customWidth="1"/>
    <col min="11529" max="11529" width="3.140625" style="245" customWidth="1"/>
    <col min="11530" max="11530" width="17.85546875" style="245" customWidth="1"/>
    <col min="11531" max="11531" width="2.5703125" style="245" customWidth="1"/>
    <col min="11532" max="11532" width="15.5703125" style="245" customWidth="1"/>
    <col min="11533" max="11533" width="1.85546875" style="245" customWidth="1"/>
    <col min="11534" max="11534" width="14.140625" style="245" customWidth="1"/>
    <col min="11535" max="11535" width="11" style="245" customWidth="1"/>
    <col min="11536" max="11537" width="25" style="245" customWidth="1"/>
    <col min="11538" max="11538" width="1.85546875" style="245" customWidth="1"/>
    <col min="11539" max="11539" width="17.85546875" style="245" customWidth="1"/>
    <col min="11540" max="11540" width="1.85546875" style="245" customWidth="1"/>
    <col min="11541" max="11541" width="19" style="245" customWidth="1"/>
    <col min="11542" max="11542" width="1.85546875" style="245" customWidth="1"/>
    <col min="11543" max="11543" width="16.7109375" style="245" customWidth="1"/>
    <col min="11544" max="11544" width="1.85546875" style="245" customWidth="1"/>
    <col min="11545" max="11545" width="16.7109375" style="245" customWidth="1"/>
    <col min="11546" max="11546" width="1.85546875" style="245" customWidth="1"/>
    <col min="11547" max="11547" width="16.7109375" style="245" customWidth="1"/>
    <col min="11548" max="11548" width="1.85546875" style="245" customWidth="1"/>
    <col min="11549" max="11549" width="16.7109375" style="245" customWidth="1"/>
    <col min="11550" max="11550" width="1.85546875" style="245" customWidth="1"/>
    <col min="11551" max="11551" width="17.85546875" style="245" customWidth="1"/>
    <col min="11552" max="11552" width="5.28515625" style="245" customWidth="1"/>
    <col min="11553" max="11553" width="16.7109375" style="245" customWidth="1"/>
    <col min="11554" max="11554" width="5.28515625" style="245" customWidth="1"/>
    <col min="11555" max="11555" width="14.42578125" style="245" customWidth="1"/>
    <col min="11556" max="11556" width="1.85546875" style="245" customWidth="1"/>
    <col min="11557" max="11557" width="16.7109375" style="245" customWidth="1"/>
    <col min="11558" max="11767" width="11" style="245"/>
    <col min="11768" max="11768" width="7.5703125" style="245" customWidth="1"/>
    <col min="11769" max="11769" width="15.5703125" style="245" customWidth="1"/>
    <col min="11770" max="11770" width="20.140625" style="245" customWidth="1"/>
    <col min="11771" max="11771" width="2.28515625" style="245" customWidth="1"/>
    <col min="11772" max="11772" width="17.42578125" style="245" customWidth="1"/>
    <col min="11773" max="11773" width="1.85546875" style="245" customWidth="1"/>
    <col min="11774" max="11774" width="18.7109375" style="245" customWidth="1"/>
    <col min="11775" max="11775" width="1.85546875" style="245" customWidth="1"/>
    <col min="11776" max="11776" width="23" style="245" customWidth="1"/>
    <col min="11777" max="11777" width="1.85546875" style="245" customWidth="1"/>
    <col min="11778" max="11778" width="17.42578125" style="245" customWidth="1"/>
    <col min="11779" max="11779" width="3" style="245" customWidth="1"/>
    <col min="11780" max="11780" width="16.28515625" style="245" customWidth="1"/>
    <col min="11781" max="11781" width="3" style="245" customWidth="1"/>
    <col min="11782" max="11782" width="14.140625" style="245" customWidth="1"/>
    <col min="11783" max="11783" width="2" style="245" customWidth="1"/>
    <col min="11784" max="11784" width="15.85546875" style="245" customWidth="1"/>
    <col min="11785" max="11785" width="3.140625" style="245" customWidth="1"/>
    <col min="11786" max="11786" width="17.85546875" style="245" customWidth="1"/>
    <col min="11787" max="11787" width="2.5703125" style="245" customWidth="1"/>
    <col min="11788" max="11788" width="15.5703125" style="245" customWidth="1"/>
    <col min="11789" max="11789" width="1.85546875" style="245" customWidth="1"/>
    <col min="11790" max="11790" width="14.140625" style="245" customWidth="1"/>
    <col min="11791" max="11791" width="11" style="245" customWidth="1"/>
    <col min="11792" max="11793" width="25" style="245" customWidth="1"/>
    <col min="11794" max="11794" width="1.85546875" style="245" customWidth="1"/>
    <col min="11795" max="11795" width="17.85546875" style="245" customWidth="1"/>
    <col min="11796" max="11796" width="1.85546875" style="245" customWidth="1"/>
    <col min="11797" max="11797" width="19" style="245" customWidth="1"/>
    <col min="11798" max="11798" width="1.85546875" style="245" customWidth="1"/>
    <col min="11799" max="11799" width="16.7109375" style="245" customWidth="1"/>
    <col min="11800" max="11800" width="1.85546875" style="245" customWidth="1"/>
    <col min="11801" max="11801" width="16.7109375" style="245" customWidth="1"/>
    <col min="11802" max="11802" width="1.85546875" style="245" customWidth="1"/>
    <col min="11803" max="11803" width="16.7109375" style="245" customWidth="1"/>
    <col min="11804" max="11804" width="1.85546875" style="245" customWidth="1"/>
    <col min="11805" max="11805" width="16.7109375" style="245" customWidth="1"/>
    <col min="11806" max="11806" width="1.85546875" style="245" customWidth="1"/>
    <col min="11807" max="11807" width="17.85546875" style="245" customWidth="1"/>
    <col min="11808" max="11808" width="5.28515625" style="245" customWidth="1"/>
    <col min="11809" max="11809" width="16.7109375" style="245" customWidth="1"/>
    <col min="11810" max="11810" width="5.28515625" style="245" customWidth="1"/>
    <col min="11811" max="11811" width="14.42578125" style="245" customWidth="1"/>
    <col min="11812" max="11812" width="1.85546875" style="245" customWidth="1"/>
    <col min="11813" max="11813" width="16.7109375" style="245" customWidth="1"/>
    <col min="11814" max="12023" width="11" style="245"/>
    <col min="12024" max="12024" width="7.5703125" style="245" customWidth="1"/>
    <col min="12025" max="12025" width="15.5703125" style="245" customWidth="1"/>
    <col min="12026" max="12026" width="20.140625" style="245" customWidth="1"/>
    <col min="12027" max="12027" width="2.28515625" style="245" customWidth="1"/>
    <col min="12028" max="12028" width="17.42578125" style="245" customWidth="1"/>
    <col min="12029" max="12029" width="1.85546875" style="245" customWidth="1"/>
    <col min="12030" max="12030" width="18.7109375" style="245" customWidth="1"/>
    <col min="12031" max="12031" width="1.85546875" style="245" customWidth="1"/>
    <col min="12032" max="12032" width="23" style="245" customWidth="1"/>
    <col min="12033" max="12033" width="1.85546875" style="245" customWidth="1"/>
    <col min="12034" max="12034" width="17.42578125" style="245" customWidth="1"/>
    <col min="12035" max="12035" width="3" style="245" customWidth="1"/>
    <col min="12036" max="12036" width="16.28515625" style="245" customWidth="1"/>
    <col min="12037" max="12037" width="3" style="245" customWidth="1"/>
    <col min="12038" max="12038" width="14.140625" style="245" customWidth="1"/>
    <col min="12039" max="12039" width="2" style="245" customWidth="1"/>
    <col min="12040" max="12040" width="15.85546875" style="245" customWidth="1"/>
    <col min="12041" max="12041" width="3.140625" style="245" customWidth="1"/>
    <col min="12042" max="12042" width="17.85546875" style="245" customWidth="1"/>
    <col min="12043" max="12043" width="2.5703125" style="245" customWidth="1"/>
    <col min="12044" max="12044" width="15.5703125" style="245" customWidth="1"/>
    <col min="12045" max="12045" width="1.85546875" style="245" customWidth="1"/>
    <col min="12046" max="12046" width="14.140625" style="245" customWidth="1"/>
    <col min="12047" max="12047" width="11" style="245" customWidth="1"/>
    <col min="12048" max="12049" width="25" style="245" customWidth="1"/>
    <col min="12050" max="12050" width="1.85546875" style="245" customWidth="1"/>
    <col min="12051" max="12051" width="17.85546875" style="245" customWidth="1"/>
    <col min="12052" max="12052" width="1.85546875" style="245" customWidth="1"/>
    <col min="12053" max="12053" width="19" style="245" customWidth="1"/>
    <col min="12054" max="12054" width="1.85546875" style="245" customWidth="1"/>
    <col min="12055" max="12055" width="16.7109375" style="245" customWidth="1"/>
    <col min="12056" max="12056" width="1.85546875" style="245" customWidth="1"/>
    <col min="12057" max="12057" width="16.7109375" style="245" customWidth="1"/>
    <col min="12058" max="12058" width="1.85546875" style="245" customWidth="1"/>
    <col min="12059" max="12059" width="16.7109375" style="245" customWidth="1"/>
    <col min="12060" max="12060" width="1.85546875" style="245" customWidth="1"/>
    <col min="12061" max="12061" width="16.7109375" style="245" customWidth="1"/>
    <col min="12062" max="12062" width="1.85546875" style="245" customWidth="1"/>
    <col min="12063" max="12063" width="17.85546875" style="245" customWidth="1"/>
    <col min="12064" max="12064" width="5.28515625" style="245" customWidth="1"/>
    <col min="12065" max="12065" width="16.7109375" style="245" customWidth="1"/>
    <col min="12066" max="12066" width="5.28515625" style="245" customWidth="1"/>
    <col min="12067" max="12067" width="14.42578125" style="245" customWidth="1"/>
    <col min="12068" max="12068" width="1.85546875" style="245" customWidth="1"/>
    <col min="12069" max="12069" width="16.7109375" style="245" customWidth="1"/>
    <col min="12070" max="12279" width="11" style="245"/>
    <col min="12280" max="12280" width="7.5703125" style="245" customWidth="1"/>
    <col min="12281" max="12281" width="15.5703125" style="245" customWidth="1"/>
    <col min="12282" max="12282" width="20.140625" style="245" customWidth="1"/>
    <col min="12283" max="12283" width="2.28515625" style="245" customWidth="1"/>
    <col min="12284" max="12284" width="17.42578125" style="245" customWidth="1"/>
    <col min="12285" max="12285" width="1.85546875" style="245" customWidth="1"/>
    <col min="12286" max="12286" width="18.7109375" style="245" customWidth="1"/>
    <col min="12287" max="12287" width="1.85546875" style="245" customWidth="1"/>
    <col min="12288" max="12288" width="23" style="245" customWidth="1"/>
    <col min="12289" max="12289" width="1.85546875" style="245" customWidth="1"/>
    <col min="12290" max="12290" width="17.42578125" style="245" customWidth="1"/>
    <col min="12291" max="12291" width="3" style="245" customWidth="1"/>
    <col min="12292" max="12292" width="16.28515625" style="245" customWidth="1"/>
    <col min="12293" max="12293" width="3" style="245" customWidth="1"/>
    <col min="12294" max="12294" width="14.140625" style="245" customWidth="1"/>
    <col min="12295" max="12295" width="2" style="245" customWidth="1"/>
    <col min="12296" max="12296" width="15.85546875" style="245" customWidth="1"/>
    <col min="12297" max="12297" width="3.140625" style="245" customWidth="1"/>
    <col min="12298" max="12298" width="17.85546875" style="245" customWidth="1"/>
    <col min="12299" max="12299" width="2.5703125" style="245" customWidth="1"/>
    <col min="12300" max="12300" width="15.5703125" style="245" customWidth="1"/>
    <col min="12301" max="12301" width="1.85546875" style="245" customWidth="1"/>
    <col min="12302" max="12302" width="14.140625" style="245" customWidth="1"/>
    <col min="12303" max="12303" width="11" style="245" customWidth="1"/>
    <col min="12304" max="12305" width="25" style="245" customWidth="1"/>
    <col min="12306" max="12306" width="1.85546875" style="245" customWidth="1"/>
    <col min="12307" max="12307" width="17.85546875" style="245" customWidth="1"/>
    <col min="12308" max="12308" width="1.85546875" style="245" customWidth="1"/>
    <col min="12309" max="12309" width="19" style="245" customWidth="1"/>
    <col min="12310" max="12310" width="1.85546875" style="245" customWidth="1"/>
    <col min="12311" max="12311" width="16.7109375" style="245" customWidth="1"/>
    <col min="12312" max="12312" width="1.85546875" style="245" customWidth="1"/>
    <col min="12313" max="12313" width="16.7109375" style="245" customWidth="1"/>
    <col min="12314" max="12314" width="1.85546875" style="245" customWidth="1"/>
    <col min="12315" max="12315" width="16.7109375" style="245" customWidth="1"/>
    <col min="12316" max="12316" width="1.85546875" style="245" customWidth="1"/>
    <col min="12317" max="12317" width="16.7109375" style="245" customWidth="1"/>
    <col min="12318" max="12318" width="1.85546875" style="245" customWidth="1"/>
    <col min="12319" max="12319" width="17.85546875" style="245" customWidth="1"/>
    <col min="12320" max="12320" width="5.28515625" style="245" customWidth="1"/>
    <col min="12321" max="12321" width="16.7109375" style="245" customWidth="1"/>
    <col min="12322" max="12322" width="5.28515625" style="245" customWidth="1"/>
    <col min="12323" max="12323" width="14.42578125" style="245" customWidth="1"/>
    <col min="12324" max="12324" width="1.85546875" style="245" customWidth="1"/>
    <col min="12325" max="12325" width="16.7109375" style="245" customWidth="1"/>
    <col min="12326" max="12535" width="11" style="245"/>
    <col min="12536" max="12536" width="7.5703125" style="245" customWidth="1"/>
    <col min="12537" max="12537" width="15.5703125" style="245" customWidth="1"/>
    <col min="12538" max="12538" width="20.140625" style="245" customWidth="1"/>
    <col min="12539" max="12539" width="2.28515625" style="245" customWidth="1"/>
    <col min="12540" max="12540" width="17.42578125" style="245" customWidth="1"/>
    <col min="12541" max="12541" width="1.85546875" style="245" customWidth="1"/>
    <col min="12542" max="12542" width="18.7109375" style="245" customWidth="1"/>
    <col min="12543" max="12543" width="1.85546875" style="245" customWidth="1"/>
    <col min="12544" max="12544" width="23" style="245" customWidth="1"/>
    <col min="12545" max="12545" width="1.85546875" style="245" customWidth="1"/>
    <col min="12546" max="12546" width="17.42578125" style="245" customWidth="1"/>
    <col min="12547" max="12547" width="3" style="245" customWidth="1"/>
    <col min="12548" max="12548" width="16.28515625" style="245" customWidth="1"/>
    <col min="12549" max="12549" width="3" style="245" customWidth="1"/>
    <col min="12550" max="12550" width="14.140625" style="245" customWidth="1"/>
    <col min="12551" max="12551" width="2" style="245" customWidth="1"/>
    <col min="12552" max="12552" width="15.85546875" style="245" customWidth="1"/>
    <col min="12553" max="12553" width="3.140625" style="245" customWidth="1"/>
    <col min="12554" max="12554" width="17.85546875" style="245" customWidth="1"/>
    <col min="12555" max="12555" width="2.5703125" style="245" customWidth="1"/>
    <col min="12556" max="12556" width="15.5703125" style="245" customWidth="1"/>
    <col min="12557" max="12557" width="1.85546875" style="245" customWidth="1"/>
    <col min="12558" max="12558" width="14.140625" style="245" customWidth="1"/>
    <col min="12559" max="12559" width="11" style="245" customWidth="1"/>
    <col min="12560" max="12561" width="25" style="245" customWidth="1"/>
    <col min="12562" max="12562" width="1.85546875" style="245" customWidth="1"/>
    <col min="12563" max="12563" width="17.85546875" style="245" customWidth="1"/>
    <col min="12564" max="12564" width="1.85546875" style="245" customWidth="1"/>
    <col min="12565" max="12565" width="19" style="245" customWidth="1"/>
    <col min="12566" max="12566" width="1.85546875" style="245" customWidth="1"/>
    <col min="12567" max="12567" width="16.7109375" style="245" customWidth="1"/>
    <col min="12568" max="12568" width="1.85546875" style="245" customWidth="1"/>
    <col min="12569" max="12569" width="16.7109375" style="245" customWidth="1"/>
    <col min="12570" max="12570" width="1.85546875" style="245" customWidth="1"/>
    <col min="12571" max="12571" width="16.7109375" style="245" customWidth="1"/>
    <col min="12572" max="12572" width="1.85546875" style="245" customWidth="1"/>
    <col min="12573" max="12573" width="16.7109375" style="245" customWidth="1"/>
    <col min="12574" max="12574" width="1.85546875" style="245" customWidth="1"/>
    <col min="12575" max="12575" width="17.85546875" style="245" customWidth="1"/>
    <col min="12576" max="12576" width="5.28515625" style="245" customWidth="1"/>
    <col min="12577" max="12577" width="16.7109375" style="245" customWidth="1"/>
    <col min="12578" max="12578" width="5.28515625" style="245" customWidth="1"/>
    <col min="12579" max="12579" width="14.42578125" style="245" customWidth="1"/>
    <col min="12580" max="12580" width="1.85546875" style="245" customWidth="1"/>
    <col min="12581" max="12581" width="16.7109375" style="245" customWidth="1"/>
    <col min="12582" max="12791" width="11" style="245"/>
    <col min="12792" max="12792" width="7.5703125" style="245" customWidth="1"/>
    <col min="12793" max="12793" width="15.5703125" style="245" customWidth="1"/>
    <col min="12794" max="12794" width="20.140625" style="245" customWidth="1"/>
    <col min="12795" max="12795" width="2.28515625" style="245" customWidth="1"/>
    <col min="12796" max="12796" width="17.42578125" style="245" customWidth="1"/>
    <col min="12797" max="12797" width="1.85546875" style="245" customWidth="1"/>
    <col min="12798" max="12798" width="18.7109375" style="245" customWidth="1"/>
    <col min="12799" max="12799" width="1.85546875" style="245" customWidth="1"/>
    <col min="12800" max="12800" width="23" style="245" customWidth="1"/>
    <col min="12801" max="12801" width="1.85546875" style="245" customWidth="1"/>
    <col min="12802" max="12802" width="17.42578125" style="245" customWidth="1"/>
    <col min="12803" max="12803" width="3" style="245" customWidth="1"/>
    <col min="12804" max="12804" width="16.28515625" style="245" customWidth="1"/>
    <col min="12805" max="12805" width="3" style="245" customWidth="1"/>
    <col min="12806" max="12806" width="14.140625" style="245" customWidth="1"/>
    <col min="12807" max="12807" width="2" style="245" customWidth="1"/>
    <col min="12808" max="12808" width="15.85546875" style="245" customWidth="1"/>
    <col min="12809" max="12809" width="3.140625" style="245" customWidth="1"/>
    <col min="12810" max="12810" width="17.85546875" style="245" customWidth="1"/>
    <col min="12811" max="12811" width="2.5703125" style="245" customWidth="1"/>
    <col min="12812" max="12812" width="15.5703125" style="245" customWidth="1"/>
    <col min="12813" max="12813" width="1.85546875" style="245" customWidth="1"/>
    <col min="12814" max="12814" width="14.140625" style="245" customWidth="1"/>
    <col min="12815" max="12815" width="11" style="245" customWidth="1"/>
    <col min="12816" max="12817" width="25" style="245" customWidth="1"/>
    <col min="12818" max="12818" width="1.85546875" style="245" customWidth="1"/>
    <col min="12819" max="12819" width="17.85546875" style="245" customWidth="1"/>
    <col min="12820" max="12820" width="1.85546875" style="245" customWidth="1"/>
    <col min="12821" max="12821" width="19" style="245" customWidth="1"/>
    <col min="12822" max="12822" width="1.85546875" style="245" customWidth="1"/>
    <col min="12823" max="12823" width="16.7109375" style="245" customWidth="1"/>
    <col min="12824" max="12824" width="1.85546875" style="245" customWidth="1"/>
    <col min="12825" max="12825" width="16.7109375" style="245" customWidth="1"/>
    <col min="12826" max="12826" width="1.85546875" style="245" customWidth="1"/>
    <col min="12827" max="12827" width="16.7109375" style="245" customWidth="1"/>
    <col min="12828" max="12828" width="1.85546875" style="245" customWidth="1"/>
    <col min="12829" max="12829" width="16.7109375" style="245" customWidth="1"/>
    <col min="12830" max="12830" width="1.85546875" style="245" customWidth="1"/>
    <col min="12831" max="12831" width="17.85546875" style="245" customWidth="1"/>
    <col min="12832" max="12832" width="5.28515625" style="245" customWidth="1"/>
    <col min="12833" max="12833" width="16.7109375" style="245" customWidth="1"/>
    <col min="12834" max="12834" width="5.28515625" style="245" customWidth="1"/>
    <col min="12835" max="12835" width="14.42578125" style="245" customWidth="1"/>
    <col min="12836" max="12836" width="1.85546875" style="245" customWidth="1"/>
    <col min="12837" max="12837" width="16.7109375" style="245" customWidth="1"/>
    <col min="12838" max="13047" width="11" style="245"/>
    <col min="13048" max="13048" width="7.5703125" style="245" customWidth="1"/>
    <col min="13049" max="13049" width="15.5703125" style="245" customWidth="1"/>
    <col min="13050" max="13050" width="20.140625" style="245" customWidth="1"/>
    <col min="13051" max="13051" width="2.28515625" style="245" customWidth="1"/>
    <col min="13052" max="13052" width="17.42578125" style="245" customWidth="1"/>
    <col min="13053" max="13053" width="1.85546875" style="245" customWidth="1"/>
    <col min="13054" max="13054" width="18.7109375" style="245" customWidth="1"/>
    <col min="13055" max="13055" width="1.85546875" style="245" customWidth="1"/>
    <col min="13056" max="13056" width="23" style="245" customWidth="1"/>
    <col min="13057" max="13057" width="1.85546875" style="245" customWidth="1"/>
    <col min="13058" max="13058" width="17.42578125" style="245" customWidth="1"/>
    <col min="13059" max="13059" width="3" style="245" customWidth="1"/>
    <col min="13060" max="13060" width="16.28515625" style="245" customWidth="1"/>
    <col min="13061" max="13061" width="3" style="245" customWidth="1"/>
    <col min="13062" max="13062" width="14.140625" style="245" customWidth="1"/>
    <col min="13063" max="13063" width="2" style="245" customWidth="1"/>
    <col min="13064" max="13064" width="15.85546875" style="245" customWidth="1"/>
    <col min="13065" max="13065" width="3.140625" style="245" customWidth="1"/>
    <col min="13066" max="13066" width="17.85546875" style="245" customWidth="1"/>
    <col min="13067" max="13067" width="2.5703125" style="245" customWidth="1"/>
    <col min="13068" max="13068" width="15.5703125" style="245" customWidth="1"/>
    <col min="13069" max="13069" width="1.85546875" style="245" customWidth="1"/>
    <col min="13070" max="13070" width="14.140625" style="245" customWidth="1"/>
    <col min="13071" max="13071" width="11" style="245" customWidth="1"/>
    <col min="13072" max="13073" width="25" style="245" customWidth="1"/>
    <col min="13074" max="13074" width="1.85546875" style="245" customWidth="1"/>
    <col min="13075" max="13075" width="17.85546875" style="245" customWidth="1"/>
    <col min="13076" max="13076" width="1.85546875" style="245" customWidth="1"/>
    <col min="13077" max="13077" width="19" style="245" customWidth="1"/>
    <col min="13078" max="13078" width="1.85546875" style="245" customWidth="1"/>
    <col min="13079" max="13079" width="16.7109375" style="245" customWidth="1"/>
    <col min="13080" max="13080" width="1.85546875" style="245" customWidth="1"/>
    <col min="13081" max="13081" width="16.7109375" style="245" customWidth="1"/>
    <col min="13082" max="13082" width="1.85546875" style="245" customWidth="1"/>
    <col min="13083" max="13083" width="16.7109375" style="245" customWidth="1"/>
    <col min="13084" max="13084" width="1.85546875" style="245" customWidth="1"/>
    <col min="13085" max="13085" width="16.7109375" style="245" customWidth="1"/>
    <col min="13086" max="13086" width="1.85546875" style="245" customWidth="1"/>
    <col min="13087" max="13087" width="17.85546875" style="245" customWidth="1"/>
    <col min="13088" max="13088" width="5.28515625" style="245" customWidth="1"/>
    <col min="13089" max="13089" width="16.7109375" style="245" customWidth="1"/>
    <col min="13090" max="13090" width="5.28515625" style="245" customWidth="1"/>
    <col min="13091" max="13091" width="14.42578125" style="245" customWidth="1"/>
    <col min="13092" max="13092" width="1.85546875" style="245" customWidth="1"/>
    <col min="13093" max="13093" width="16.7109375" style="245" customWidth="1"/>
    <col min="13094" max="13303" width="11" style="245"/>
    <col min="13304" max="13304" width="7.5703125" style="245" customWidth="1"/>
    <col min="13305" max="13305" width="15.5703125" style="245" customWidth="1"/>
    <col min="13306" max="13306" width="20.140625" style="245" customWidth="1"/>
    <col min="13307" max="13307" width="2.28515625" style="245" customWidth="1"/>
    <col min="13308" max="13308" width="17.42578125" style="245" customWidth="1"/>
    <col min="13309" max="13309" width="1.85546875" style="245" customWidth="1"/>
    <col min="13310" max="13310" width="18.7109375" style="245" customWidth="1"/>
    <col min="13311" max="13311" width="1.85546875" style="245" customWidth="1"/>
    <col min="13312" max="13312" width="23" style="245" customWidth="1"/>
    <col min="13313" max="13313" width="1.85546875" style="245" customWidth="1"/>
    <col min="13314" max="13314" width="17.42578125" style="245" customWidth="1"/>
    <col min="13315" max="13315" width="3" style="245" customWidth="1"/>
    <col min="13316" max="13316" width="16.28515625" style="245" customWidth="1"/>
    <col min="13317" max="13317" width="3" style="245" customWidth="1"/>
    <col min="13318" max="13318" width="14.140625" style="245" customWidth="1"/>
    <col min="13319" max="13319" width="2" style="245" customWidth="1"/>
    <col min="13320" max="13320" width="15.85546875" style="245" customWidth="1"/>
    <col min="13321" max="13321" width="3.140625" style="245" customWidth="1"/>
    <col min="13322" max="13322" width="17.85546875" style="245" customWidth="1"/>
    <col min="13323" max="13323" width="2.5703125" style="245" customWidth="1"/>
    <col min="13324" max="13324" width="15.5703125" style="245" customWidth="1"/>
    <col min="13325" max="13325" width="1.85546875" style="245" customWidth="1"/>
    <col min="13326" max="13326" width="14.140625" style="245" customWidth="1"/>
    <col min="13327" max="13327" width="11" style="245" customWidth="1"/>
    <col min="13328" max="13329" width="25" style="245" customWidth="1"/>
    <col min="13330" max="13330" width="1.85546875" style="245" customWidth="1"/>
    <col min="13331" max="13331" width="17.85546875" style="245" customWidth="1"/>
    <col min="13332" max="13332" width="1.85546875" style="245" customWidth="1"/>
    <col min="13333" max="13333" width="19" style="245" customWidth="1"/>
    <col min="13334" max="13334" width="1.85546875" style="245" customWidth="1"/>
    <col min="13335" max="13335" width="16.7109375" style="245" customWidth="1"/>
    <col min="13336" max="13336" width="1.85546875" style="245" customWidth="1"/>
    <col min="13337" max="13337" width="16.7109375" style="245" customWidth="1"/>
    <col min="13338" max="13338" width="1.85546875" style="245" customWidth="1"/>
    <col min="13339" max="13339" width="16.7109375" style="245" customWidth="1"/>
    <col min="13340" max="13340" width="1.85546875" style="245" customWidth="1"/>
    <col min="13341" max="13341" width="16.7109375" style="245" customWidth="1"/>
    <col min="13342" max="13342" width="1.85546875" style="245" customWidth="1"/>
    <col min="13343" max="13343" width="17.85546875" style="245" customWidth="1"/>
    <col min="13344" max="13344" width="5.28515625" style="245" customWidth="1"/>
    <col min="13345" max="13345" width="16.7109375" style="245" customWidth="1"/>
    <col min="13346" max="13346" width="5.28515625" style="245" customWidth="1"/>
    <col min="13347" max="13347" width="14.42578125" style="245" customWidth="1"/>
    <col min="13348" max="13348" width="1.85546875" style="245" customWidth="1"/>
    <col min="13349" max="13349" width="16.7109375" style="245" customWidth="1"/>
    <col min="13350" max="13559" width="11" style="245"/>
    <col min="13560" max="13560" width="7.5703125" style="245" customWidth="1"/>
    <col min="13561" max="13561" width="15.5703125" style="245" customWidth="1"/>
    <col min="13562" max="13562" width="20.140625" style="245" customWidth="1"/>
    <col min="13563" max="13563" width="2.28515625" style="245" customWidth="1"/>
    <col min="13564" max="13564" width="17.42578125" style="245" customWidth="1"/>
    <col min="13565" max="13565" width="1.85546875" style="245" customWidth="1"/>
    <col min="13566" max="13566" width="18.7109375" style="245" customWidth="1"/>
    <col min="13567" max="13567" width="1.85546875" style="245" customWidth="1"/>
    <col min="13568" max="13568" width="23" style="245" customWidth="1"/>
    <col min="13569" max="13569" width="1.85546875" style="245" customWidth="1"/>
    <col min="13570" max="13570" width="17.42578125" style="245" customWidth="1"/>
    <col min="13571" max="13571" width="3" style="245" customWidth="1"/>
    <col min="13572" max="13572" width="16.28515625" style="245" customWidth="1"/>
    <col min="13573" max="13573" width="3" style="245" customWidth="1"/>
    <col min="13574" max="13574" width="14.140625" style="245" customWidth="1"/>
    <col min="13575" max="13575" width="2" style="245" customWidth="1"/>
    <col min="13576" max="13576" width="15.85546875" style="245" customWidth="1"/>
    <col min="13577" max="13577" width="3.140625" style="245" customWidth="1"/>
    <col min="13578" max="13578" width="17.85546875" style="245" customWidth="1"/>
    <col min="13579" max="13579" width="2.5703125" style="245" customWidth="1"/>
    <col min="13580" max="13580" width="15.5703125" style="245" customWidth="1"/>
    <col min="13581" max="13581" width="1.85546875" style="245" customWidth="1"/>
    <col min="13582" max="13582" width="14.140625" style="245" customWidth="1"/>
    <col min="13583" max="13583" width="11" style="245" customWidth="1"/>
    <col min="13584" max="13585" width="25" style="245" customWidth="1"/>
    <col min="13586" max="13586" width="1.85546875" style="245" customWidth="1"/>
    <col min="13587" max="13587" width="17.85546875" style="245" customWidth="1"/>
    <col min="13588" max="13588" width="1.85546875" style="245" customWidth="1"/>
    <col min="13589" max="13589" width="19" style="245" customWidth="1"/>
    <col min="13590" max="13590" width="1.85546875" style="245" customWidth="1"/>
    <col min="13591" max="13591" width="16.7109375" style="245" customWidth="1"/>
    <col min="13592" max="13592" width="1.85546875" style="245" customWidth="1"/>
    <col min="13593" max="13593" width="16.7109375" style="245" customWidth="1"/>
    <col min="13594" max="13594" width="1.85546875" style="245" customWidth="1"/>
    <col min="13595" max="13595" width="16.7109375" style="245" customWidth="1"/>
    <col min="13596" max="13596" width="1.85546875" style="245" customWidth="1"/>
    <col min="13597" max="13597" width="16.7109375" style="245" customWidth="1"/>
    <col min="13598" max="13598" width="1.85546875" style="245" customWidth="1"/>
    <col min="13599" max="13599" width="17.85546875" style="245" customWidth="1"/>
    <col min="13600" max="13600" width="5.28515625" style="245" customWidth="1"/>
    <col min="13601" max="13601" width="16.7109375" style="245" customWidth="1"/>
    <col min="13602" max="13602" width="5.28515625" style="245" customWidth="1"/>
    <col min="13603" max="13603" width="14.42578125" style="245" customWidth="1"/>
    <col min="13604" max="13604" width="1.85546875" style="245" customWidth="1"/>
    <col min="13605" max="13605" width="16.7109375" style="245" customWidth="1"/>
    <col min="13606" max="13815" width="11" style="245"/>
    <col min="13816" max="13816" width="7.5703125" style="245" customWidth="1"/>
    <col min="13817" max="13817" width="15.5703125" style="245" customWidth="1"/>
    <col min="13818" max="13818" width="20.140625" style="245" customWidth="1"/>
    <col min="13819" max="13819" width="2.28515625" style="245" customWidth="1"/>
    <col min="13820" max="13820" width="17.42578125" style="245" customWidth="1"/>
    <col min="13821" max="13821" width="1.85546875" style="245" customWidth="1"/>
    <col min="13822" max="13822" width="18.7109375" style="245" customWidth="1"/>
    <col min="13823" max="13823" width="1.85546875" style="245" customWidth="1"/>
    <col min="13824" max="13824" width="23" style="245" customWidth="1"/>
    <col min="13825" max="13825" width="1.85546875" style="245" customWidth="1"/>
    <col min="13826" max="13826" width="17.42578125" style="245" customWidth="1"/>
    <col min="13827" max="13827" width="3" style="245" customWidth="1"/>
    <col min="13828" max="13828" width="16.28515625" style="245" customWidth="1"/>
    <col min="13829" max="13829" width="3" style="245" customWidth="1"/>
    <col min="13830" max="13830" width="14.140625" style="245" customWidth="1"/>
    <col min="13831" max="13831" width="2" style="245" customWidth="1"/>
    <col min="13832" max="13832" width="15.85546875" style="245" customWidth="1"/>
    <col min="13833" max="13833" width="3.140625" style="245" customWidth="1"/>
    <col min="13834" max="13834" width="17.85546875" style="245" customWidth="1"/>
    <col min="13835" max="13835" width="2.5703125" style="245" customWidth="1"/>
    <col min="13836" max="13836" width="15.5703125" style="245" customWidth="1"/>
    <col min="13837" max="13837" width="1.85546875" style="245" customWidth="1"/>
    <col min="13838" max="13838" width="14.140625" style="245" customWidth="1"/>
    <col min="13839" max="13839" width="11" style="245" customWidth="1"/>
    <col min="13840" max="13841" width="25" style="245" customWidth="1"/>
    <col min="13842" max="13842" width="1.85546875" style="245" customWidth="1"/>
    <col min="13843" max="13843" width="17.85546875" style="245" customWidth="1"/>
    <col min="13844" max="13844" width="1.85546875" style="245" customWidth="1"/>
    <col min="13845" max="13845" width="19" style="245" customWidth="1"/>
    <col min="13846" max="13846" width="1.85546875" style="245" customWidth="1"/>
    <col min="13847" max="13847" width="16.7109375" style="245" customWidth="1"/>
    <col min="13848" max="13848" width="1.85546875" style="245" customWidth="1"/>
    <col min="13849" max="13849" width="16.7109375" style="245" customWidth="1"/>
    <col min="13850" max="13850" width="1.85546875" style="245" customWidth="1"/>
    <col min="13851" max="13851" width="16.7109375" style="245" customWidth="1"/>
    <col min="13852" max="13852" width="1.85546875" style="245" customWidth="1"/>
    <col min="13853" max="13853" width="16.7109375" style="245" customWidth="1"/>
    <col min="13854" max="13854" width="1.85546875" style="245" customWidth="1"/>
    <col min="13855" max="13855" width="17.85546875" style="245" customWidth="1"/>
    <col min="13856" max="13856" width="5.28515625" style="245" customWidth="1"/>
    <col min="13857" max="13857" width="16.7109375" style="245" customWidth="1"/>
    <col min="13858" max="13858" width="5.28515625" style="245" customWidth="1"/>
    <col min="13859" max="13859" width="14.42578125" style="245" customWidth="1"/>
    <col min="13860" max="13860" width="1.85546875" style="245" customWidth="1"/>
    <col min="13861" max="13861" width="16.7109375" style="245" customWidth="1"/>
    <col min="13862" max="14071" width="11" style="245"/>
    <col min="14072" max="14072" width="7.5703125" style="245" customWidth="1"/>
    <col min="14073" max="14073" width="15.5703125" style="245" customWidth="1"/>
    <col min="14074" max="14074" width="20.140625" style="245" customWidth="1"/>
    <col min="14075" max="14075" width="2.28515625" style="245" customWidth="1"/>
    <col min="14076" max="14076" width="17.42578125" style="245" customWidth="1"/>
    <col min="14077" max="14077" width="1.85546875" style="245" customWidth="1"/>
    <col min="14078" max="14078" width="18.7109375" style="245" customWidth="1"/>
    <col min="14079" max="14079" width="1.85546875" style="245" customWidth="1"/>
    <col min="14080" max="14080" width="23" style="245" customWidth="1"/>
    <col min="14081" max="14081" width="1.85546875" style="245" customWidth="1"/>
    <col min="14082" max="14082" width="17.42578125" style="245" customWidth="1"/>
    <col min="14083" max="14083" width="3" style="245" customWidth="1"/>
    <col min="14084" max="14084" width="16.28515625" style="245" customWidth="1"/>
    <col min="14085" max="14085" width="3" style="245" customWidth="1"/>
    <col min="14086" max="14086" width="14.140625" style="245" customWidth="1"/>
    <col min="14087" max="14087" width="2" style="245" customWidth="1"/>
    <col min="14088" max="14088" width="15.85546875" style="245" customWidth="1"/>
    <col min="14089" max="14089" width="3.140625" style="245" customWidth="1"/>
    <col min="14090" max="14090" width="17.85546875" style="245" customWidth="1"/>
    <col min="14091" max="14091" width="2.5703125" style="245" customWidth="1"/>
    <col min="14092" max="14092" width="15.5703125" style="245" customWidth="1"/>
    <col min="14093" max="14093" width="1.85546875" style="245" customWidth="1"/>
    <col min="14094" max="14094" width="14.140625" style="245" customWidth="1"/>
    <col min="14095" max="14095" width="11" style="245" customWidth="1"/>
    <col min="14096" max="14097" width="25" style="245" customWidth="1"/>
    <col min="14098" max="14098" width="1.85546875" style="245" customWidth="1"/>
    <col min="14099" max="14099" width="17.85546875" style="245" customWidth="1"/>
    <col min="14100" max="14100" width="1.85546875" style="245" customWidth="1"/>
    <col min="14101" max="14101" width="19" style="245" customWidth="1"/>
    <col min="14102" max="14102" width="1.85546875" style="245" customWidth="1"/>
    <col min="14103" max="14103" width="16.7109375" style="245" customWidth="1"/>
    <col min="14104" max="14104" width="1.85546875" style="245" customWidth="1"/>
    <col min="14105" max="14105" width="16.7109375" style="245" customWidth="1"/>
    <col min="14106" max="14106" width="1.85546875" style="245" customWidth="1"/>
    <col min="14107" max="14107" width="16.7109375" style="245" customWidth="1"/>
    <col min="14108" max="14108" width="1.85546875" style="245" customWidth="1"/>
    <col min="14109" max="14109" width="16.7109375" style="245" customWidth="1"/>
    <col min="14110" max="14110" width="1.85546875" style="245" customWidth="1"/>
    <col min="14111" max="14111" width="17.85546875" style="245" customWidth="1"/>
    <col min="14112" max="14112" width="5.28515625" style="245" customWidth="1"/>
    <col min="14113" max="14113" width="16.7109375" style="245" customWidth="1"/>
    <col min="14114" max="14114" width="5.28515625" style="245" customWidth="1"/>
    <col min="14115" max="14115" width="14.42578125" style="245" customWidth="1"/>
    <col min="14116" max="14116" width="1.85546875" style="245" customWidth="1"/>
    <col min="14117" max="14117" width="16.7109375" style="245" customWidth="1"/>
    <col min="14118" max="14327" width="11" style="245"/>
    <col min="14328" max="14328" width="7.5703125" style="245" customWidth="1"/>
    <col min="14329" max="14329" width="15.5703125" style="245" customWidth="1"/>
    <col min="14330" max="14330" width="20.140625" style="245" customWidth="1"/>
    <col min="14331" max="14331" width="2.28515625" style="245" customWidth="1"/>
    <col min="14332" max="14332" width="17.42578125" style="245" customWidth="1"/>
    <col min="14333" max="14333" width="1.85546875" style="245" customWidth="1"/>
    <col min="14334" max="14334" width="18.7109375" style="245" customWidth="1"/>
    <col min="14335" max="14335" width="1.85546875" style="245" customWidth="1"/>
    <col min="14336" max="14336" width="23" style="245" customWidth="1"/>
    <col min="14337" max="14337" width="1.85546875" style="245" customWidth="1"/>
    <col min="14338" max="14338" width="17.42578125" style="245" customWidth="1"/>
    <col min="14339" max="14339" width="3" style="245" customWidth="1"/>
    <col min="14340" max="14340" width="16.28515625" style="245" customWidth="1"/>
    <col min="14341" max="14341" width="3" style="245" customWidth="1"/>
    <col min="14342" max="14342" width="14.140625" style="245" customWidth="1"/>
    <col min="14343" max="14343" width="2" style="245" customWidth="1"/>
    <col min="14344" max="14344" width="15.85546875" style="245" customWidth="1"/>
    <col min="14345" max="14345" width="3.140625" style="245" customWidth="1"/>
    <col min="14346" max="14346" width="17.85546875" style="245" customWidth="1"/>
    <col min="14347" max="14347" width="2.5703125" style="245" customWidth="1"/>
    <col min="14348" max="14348" width="15.5703125" style="245" customWidth="1"/>
    <col min="14349" max="14349" width="1.85546875" style="245" customWidth="1"/>
    <col min="14350" max="14350" width="14.140625" style="245" customWidth="1"/>
    <col min="14351" max="14351" width="11" style="245" customWidth="1"/>
    <col min="14352" max="14353" width="25" style="245" customWidth="1"/>
    <col min="14354" max="14354" width="1.85546875" style="245" customWidth="1"/>
    <col min="14355" max="14355" width="17.85546875" style="245" customWidth="1"/>
    <col min="14356" max="14356" width="1.85546875" style="245" customWidth="1"/>
    <col min="14357" max="14357" width="19" style="245" customWidth="1"/>
    <col min="14358" max="14358" width="1.85546875" style="245" customWidth="1"/>
    <col min="14359" max="14359" width="16.7109375" style="245" customWidth="1"/>
    <col min="14360" max="14360" width="1.85546875" style="245" customWidth="1"/>
    <col min="14361" max="14361" width="16.7109375" style="245" customWidth="1"/>
    <col min="14362" max="14362" width="1.85546875" style="245" customWidth="1"/>
    <col min="14363" max="14363" width="16.7109375" style="245" customWidth="1"/>
    <col min="14364" max="14364" width="1.85546875" style="245" customWidth="1"/>
    <col min="14365" max="14365" width="16.7109375" style="245" customWidth="1"/>
    <col min="14366" max="14366" width="1.85546875" style="245" customWidth="1"/>
    <col min="14367" max="14367" width="17.85546875" style="245" customWidth="1"/>
    <col min="14368" max="14368" width="5.28515625" style="245" customWidth="1"/>
    <col min="14369" max="14369" width="16.7109375" style="245" customWidth="1"/>
    <col min="14370" max="14370" width="5.28515625" style="245" customWidth="1"/>
    <col min="14371" max="14371" width="14.42578125" style="245" customWidth="1"/>
    <col min="14372" max="14372" width="1.85546875" style="245" customWidth="1"/>
    <col min="14373" max="14373" width="16.7109375" style="245" customWidth="1"/>
    <col min="14374" max="14583" width="11" style="245"/>
    <col min="14584" max="14584" width="7.5703125" style="245" customWidth="1"/>
    <col min="14585" max="14585" width="15.5703125" style="245" customWidth="1"/>
    <col min="14586" max="14586" width="20.140625" style="245" customWidth="1"/>
    <col min="14587" max="14587" width="2.28515625" style="245" customWidth="1"/>
    <col min="14588" max="14588" width="17.42578125" style="245" customWidth="1"/>
    <col min="14589" max="14589" width="1.85546875" style="245" customWidth="1"/>
    <col min="14590" max="14590" width="18.7109375" style="245" customWidth="1"/>
    <col min="14591" max="14591" width="1.85546875" style="245" customWidth="1"/>
    <col min="14592" max="14592" width="23" style="245" customWidth="1"/>
    <col min="14593" max="14593" width="1.85546875" style="245" customWidth="1"/>
    <col min="14594" max="14594" width="17.42578125" style="245" customWidth="1"/>
    <col min="14595" max="14595" width="3" style="245" customWidth="1"/>
    <col min="14596" max="14596" width="16.28515625" style="245" customWidth="1"/>
    <col min="14597" max="14597" width="3" style="245" customWidth="1"/>
    <col min="14598" max="14598" width="14.140625" style="245" customWidth="1"/>
    <col min="14599" max="14599" width="2" style="245" customWidth="1"/>
    <col min="14600" max="14600" width="15.85546875" style="245" customWidth="1"/>
    <col min="14601" max="14601" width="3.140625" style="245" customWidth="1"/>
    <col min="14602" max="14602" width="17.85546875" style="245" customWidth="1"/>
    <col min="14603" max="14603" width="2.5703125" style="245" customWidth="1"/>
    <col min="14604" max="14604" width="15.5703125" style="245" customWidth="1"/>
    <col min="14605" max="14605" width="1.85546875" style="245" customWidth="1"/>
    <col min="14606" max="14606" width="14.140625" style="245" customWidth="1"/>
    <col min="14607" max="14607" width="11" style="245" customWidth="1"/>
    <col min="14608" max="14609" width="25" style="245" customWidth="1"/>
    <col min="14610" max="14610" width="1.85546875" style="245" customWidth="1"/>
    <col min="14611" max="14611" width="17.85546875" style="245" customWidth="1"/>
    <col min="14612" max="14612" width="1.85546875" style="245" customWidth="1"/>
    <col min="14613" max="14613" width="19" style="245" customWidth="1"/>
    <col min="14614" max="14614" width="1.85546875" style="245" customWidth="1"/>
    <col min="14615" max="14615" width="16.7109375" style="245" customWidth="1"/>
    <col min="14616" max="14616" width="1.85546875" style="245" customWidth="1"/>
    <col min="14617" max="14617" width="16.7109375" style="245" customWidth="1"/>
    <col min="14618" max="14618" width="1.85546875" style="245" customWidth="1"/>
    <col min="14619" max="14619" width="16.7109375" style="245" customWidth="1"/>
    <col min="14620" max="14620" width="1.85546875" style="245" customWidth="1"/>
    <col min="14621" max="14621" width="16.7109375" style="245" customWidth="1"/>
    <col min="14622" max="14622" width="1.85546875" style="245" customWidth="1"/>
    <col min="14623" max="14623" width="17.85546875" style="245" customWidth="1"/>
    <col min="14624" max="14624" width="5.28515625" style="245" customWidth="1"/>
    <col min="14625" max="14625" width="16.7109375" style="245" customWidth="1"/>
    <col min="14626" max="14626" width="5.28515625" style="245" customWidth="1"/>
    <col min="14627" max="14627" width="14.42578125" style="245" customWidth="1"/>
    <col min="14628" max="14628" width="1.85546875" style="245" customWidth="1"/>
    <col min="14629" max="14629" width="16.7109375" style="245" customWidth="1"/>
    <col min="14630" max="14839" width="11" style="245"/>
    <col min="14840" max="14840" width="7.5703125" style="245" customWidth="1"/>
    <col min="14841" max="14841" width="15.5703125" style="245" customWidth="1"/>
    <col min="14842" max="14842" width="20.140625" style="245" customWidth="1"/>
    <col min="14843" max="14843" width="2.28515625" style="245" customWidth="1"/>
    <col min="14844" max="14844" width="17.42578125" style="245" customWidth="1"/>
    <col min="14845" max="14845" width="1.85546875" style="245" customWidth="1"/>
    <col min="14846" max="14846" width="18.7109375" style="245" customWidth="1"/>
    <col min="14847" max="14847" width="1.85546875" style="245" customWidth="1"/>
    <col min="14848" max="14848" width="23" style="245" customWidth="1"/>
    <col min="14849" max="14849" width="1.85546875" style="245" customWidth="1"/>
    <col min="14850" max="14850" width="17.42578125" style="245" customWidth="1"/>
    <col min="14851" max="14851" width="3" style="245" customWidth="1"/>
    <col min="14852" max="14852" width="16.28515625" style="245" customWidth="1"/>
    <col min="14853" max="14853" width="3" style="245" customWidth="1"/>
    <col min="14854" max="14854" width="14.140625" style="245" customWidth="1"/>
    <col min="14855" max="14855" width="2" style="245" customWidth="1"/>
    <col min="14856" max="14856" width="15.85546875" style="245" customWidth="1"/>
    <col min="14857" max="14857" width="3.140625" style="245" customWidth="1"/>
    <col min="14858" max="14858" width="17.85546875" style="245" customWidth="1"/>
    <col min="14859" max="14859" width="2.5703125" style="245" customWidth="1"/>
    <col min="14860" max="14860" width="15.5703125" style="245" customWidth="1"/>
    <col min="14861" max="14861" width="1.85546875" style="245" customWidth="1"/>
    <col min="14862" max="14862" width="14.140625" style="245" customWidth="1"/>
    <col min="14863" max="14863" width="11" style="245" customWidth="1"/>
    <col min="14864" max="14865" width="25" style="245" customWidth="1"/>
    <col min="14866" max="14866" width="1.85546875" style="245" customWidth="1"/>
    <col min="14867" max="14867" width="17.85546875" style="245" customWidth="1"/>
    <col min="14868" max="14868" width="1.85546875" style="245" customWidth="1"/>
    <col min="14869" max="14869" width="19" style="245" customWidth="1"/>
    <col min="14870" max="14870" width="1.85546875" style="245" customWidth="1"/>
    <col min="14871" max="14871" width="16.7109375" style="245" customWidth="1"/>
    <col min="14872" max="14872" width="1.85546875" style="245" customWidth="1"/>
    <col min="14873" max="14873" width="16.7109375" style="245" customWidth="1"/>
    <col min="14874" max="14874" width="1.85546875" style="245" customWidth="1"/>
    <col min="14875" max="14875" width="16.7109375" style="245" customWidth="1"/>
    <col min="14876" max="14876" width="1.85546875" style="245" customWidth="1"/>
    <col min="14877" max="14877" width="16.7109375" style="245" customWidth="1"/>
    <col min="14878" max="14878" width="1.85546875" style="245" customWidth="1"/>
    <col min="14879" max="14879" width="17.85546875" style="245" customWidth="1"/>
    <col min="14880" max="14880" width="5.28515625" style="245" customWidth="1"/>
    <col min="14881" max="14881" width="16.7109375" style="245" customWidth="1"/>
    <col min="14882" max="14882" width="5.28515625" style="245" customWidth="1"/>
    <col min="14883" max="14883" width="14.42578125" style="245" customWidth="1"/>
    <col min="14884" max="14884" width="1.85546875" style="245" customWidth="1"/>
    <col min="14885" max="14885" width="16.7109375" style="245" customWidth="1"/>
    <col min="14886" max="15095" width="11" style="245"/>
    <col min="15096" max="15096" width="7.5703125" style="245" customWidth="1"/>
    <col min="15097" max="15097" width="15.5703125" style="245" customWidth="1"/>
    <col min="15098" max="15098" width="20.140625" style="245" customWidth="1"/>
    <col min="15099" max="15099" width="2.28515625" style="245" customWidth="1"/>
    <col min="15100" max="15100" width="17.42578125" style="245" customWidth="1"/>
    <col min="15101" max="15101" width="1.85546875" style="245" customWidth="1"/>
    <col min="15102" max="15102" width="18.7109375" style="245" customWidth="1"/>
    <col min="15103" max="15103" width="1.85546875" style="245" customWidth="1"/>
    <col min="15104" max="15104" width="23" style="245" customWidth="1"/>
    <col min="15105" max="15105" width="1.85546875" style="245" customWidth="1"/>
    <col min="15106" max="15106" width="17.42578125" style="245" customWidth="1"/>
    <col min="15107" max="15107" width="3" style="245" customWidth="1"/>
    <col min="15108" max="15108" width="16.28515625" style="245" customWidth="1"/>
    <col min="15109" max="15109" width="3" style="245" customWidth="1"/>
    <col min="15110" max="15110" width="14.140625" style="245" customWidth="1"/>
    <col min="15111" max="15111" width="2" style="245" customWidth="1"/>
    <col min="15112" max="15112" width="15.85546875" style="245" customWidth="1"/>
    <col min="15113" max="15113" width="3.140625" style="245" customWidth="1"/>
    <col min="15114" max="15114" width="17.85546875" style="245" customWidth="1"/>
    <col min="15115" max="15115" width="2.5703125" style="245" customWidth="1"/>
    <col min="15116" max="15116" width="15.5703125" style="245" customWidth="1"/>
    <col min="15117" max="15117" width="1.85546875" style="245" customWidth="1"/>
    <col min="15118" max="15118" width="14.140625" style="245" customWidth="1"/>
    <col min="15119" max="15119" width="11" style="245" customWidth="1"/>
    <col min="15120" max="15121" width="25" style="245" customWidth="1"/>
    <col min="15122" max="15122" width="1.85546875" style="245" customWidth="1"/>
    <col min="15123" max="15123" width="17.85546875" style="245" customWidth="1"/>
    <col min="15124" max="15124" width="1.85546875" style="245" customWidth="1"/>
    <col min="15125" max="15125" width="19" style="245" customWidth="1"/>
    <col min="15126" max="15126" width="1.85546875" style="245" customWidth="1"/>
    <col min="15127" max="15127" width="16.7109375" style="245" customWidth="1"/>
    <col min="15128" max="15128" width="1.85546875" style="245" customWidth="1"/>
    <col min="15129" max="15129" width="16.7109375" style="245" customWidth="1"/>
    <col min="15130" max="15130" width="1.85546875" style="245" customWidth="1"/>
    <col min="15131" max="15131" width="16.7109375" style="245" customWidth="1"/>
    <col min="15132" max="15132" width="1.85546875" style="245" customWidth="1"/>
    <col min="15133" max="15133" width="16.7109375" style="245" customWidth="1"/>
    <col min="15134" max="15134" width="1.85546875" style="245" customWidth="1"/>
    <col min="15135" max="15135" width="17.85546875" style="245" customWidth="1"/>
    <col min="15136" max="15136" width="5.28515625" style="245" customWidth="1"/>
    <col min="15137" max="15137" width="16.7109375" style="245" customWidth="1"/>
    <col min="15138" max="15138" width="5.28515625" style="245" customWidth="1"/>
    <col min="15139" max="15139" width="14.42578125" style="245" customWidth="1"/>
    <col min="15140" max="15140" width="1.85546875" style="245" customWidth="1"/>
    <col min="15141" max="15141" width="16.7109375" style="245" customWidth="1"/>
    <col min="15142" max="15351" width="11" style="245"/>
    <col min="15352" max="15352" width="7.5703125" style="245" customWidth="1"/>
    <col min="15353" max="15353" width="15.5703125" style="245" customWidth="1"/>
    <col min="15354" max="15354" width="20.140625" style="245" customWidth="1"/>
    <col min="15355" max="15355" width="2.28515625" style="245" customWidth="1"/>
    <col min="15356" max="15356" width="17.42578125" style="245" customWidth="1"/>
    <col min="15357" max="15357" width="1.85546875" style="245" customWidth="1"/>
    <col min="15358" max="15358" width="18.7109375" style="245" customWidth="1"/>
    <col min="15359" max="15359" width="1.85546875" style="245" customWidth="1"/>
    <col min="15360" max="15360" width="23" style="245" customWidth="1"/>
    <col min="15361" max="15361" width="1.85546875" style="245" customWidth="1"/>
    <col min="15362" max="15362" width="17.42578125" style="245" customWidth="1"/>
    <col min="15363" max="15363" width="3" style="245" customWidth="1"/>
    <col min="15364" max="15364" width="16.28515625" style="245" customWidth="1"/>
    <col min="15365" max="15365" width="3" style="245" customWidth="1"/>
    <col min="15366" max="15366" width="14.140625" style="245" customWidth="1"/>
    <col min="15367" max="15367" width="2" style="245" customWidth="1"/>
    <col min="15368" max="15368" width="15.85546875" style="245" customWidth="1"/>
    <col min="15369" max="15369" width="3.140625" style="245" customWidth="1"/>
    <col min="15370" max="15370" width="17.85546875" style="245" customWidth="1"/>
    <col min="15371" max="15371" width="2.5703125" style="245" customWidth="1"/>
    <col min="15372" max="15372" width="15.5703125" style="245" customWidth="1"/>
    <col min="15373" max="15373" width="1.85546875" style="245" customWidth="1"/>
    <col min="15374" max="15374" width="14.140625" style="245" customWidth="1"/>
    <col min="15375" max="15375" width="11" style="245" customWidth="1"/>
    <col min="15376" max="15377" width="25" style="245" customWidth="1"/>
    <col min="15378" max="15378" width="1.85546875" style="245" customWidth="1"/>
    <col min="15379" max="15379" width="17.85546875" style="245" customWidth="1"/>
    <col min="15380" max="15380" width="1.85546875" style="245" customWidth="1"/>
    <col min="15381" max="15381" width="19" style="245" customWidth="1"/>
    <col min="15382" max="15382" width="1.85546875" style="245" customWidth="1"/>
    <col min="15383" max="15383" width="16.7109375" style="245" customWidth="1"/>
    <col min="15384" max="15384" width="1.85546875" style="245" customWidth="1"/>
    <col min="15385" max="15385" width="16.7109375" style="245" customWidth="1"/>
    <col min="15386" max="15386" width="1.85546875" style="245" customWidth="1"/>
    <col min="15387" max="15387" width="16.7109375" style="245" customWidth="1"/>
    <col min="15388" max="15388" width="1.85546875" style="245" customWidth="1"/>
    <col min="15389" max="15389" width="16.7109375" style="245" customWidth="1"/>
    <col min="15390" max="15390" width="1.85546875" style="245" customWidth="1"/>
    <col min="15391" max="15391" width="17.85546875" style="245" customWidth="1"/>
    <col min="15392" max="15392" width="5.28515625" style="245" customWidth="1"/>
    <col min="15393" max="15393" width="16.7109375" style="245" customWidth="1"/>
    <col min="15394" max="15394" width="5.28515625" style="245" customWidth="1"/>
    <col min="15395" max="15395" width="14.42578125" style="245" customWidth="1"/>
    <col min="15396" max="15396" width="1.85546875" style="245" customWidth="1"/>
    <col min="15397" max="15397" width="16.7109375" style="245" customWidth="1"/>
    <col min="15398" max="15607" width="11" style="245"/>
    <col min="15608" max="15608" width="7.5703125" style="245" customWidth="1"/>
    <col min="15609" max="15609" width="15.5703125" style="245" customWidth="1"/>
    <col min="15610" max="15610" width="20.140625" style="245" customWidth="1"/>
    <col min="15611" max="15611" width="2.28515625" style="245" customWidth="1"/>
    <col min="15612" max="15612" width="17.42578125" style="245" customWidth="1"/>
    <col min="15613" max="15613" width="1.85546875" style="245" customWidth="1"/>
    <col min="15614" max="15614" width="18.7109375" style="245" customWidth="1"/>
    <col min="15615" max="15615" width="1.85546875" style="245" customWidth="1"/>
    <col min="15616" max="15616" width="23" style="245" customWidth="1"/>
    <col min="15617" max="15617" width="1.85546875" style="245" customWidth="1"/>
    <col min="15618" max="15618" width="17.42578125" style="245" customWidth="1"/>
    <col min="15619" max="15619" width="3" style="245" customWidth="1"/>
    <col min="15620" max="15620" width="16.28515625" style="245" customWidth="1"/>
    <col min="15621" max="15621" width="3" style="245" customWidth="1"/>
    <col min="15622" max="15622" width="14.140625" style="245" customWidth="1"/>
    <col min="15623" max="15623" width="2" style="245" customWidth="1"/>
    <col min="15624" max="15624" width="15.85546875" style="245" customWidth="1"/>
    <col min="15625" max="15625" width="3.140625" style="245" customWidth="1"/>
    <col min="15626" max="15626" width="17.85546875" style="245" customWidth="1"/>
    <col min="15627" max="15627" width="2.5703125" style="245" customWidth="1"/>
    <col min="15628" max="15628" width="15.5703125" style="245" customWidth="1"/>
    <col min="15629" max="15629" width="1.85546875" style="245" customWidth="1"/>
    <col min="15630" max="15630" width="14.140625" style="245" customWidth="1"/>
    <col min="15631" max="15631" width="11" style="245" customWidth="1"/>
    <col min="15632" max="15633" width="25" style="245" customWidth="1"/>
    <col min="15634" max="15634" width="1.85546875" style="245" customWidth="1"/>
    <col min="15635" max="15635" width="17.85546875" style="245" customWidth="1"/>
    <col min="15636" max="15636" width="1.85546875" style="245" customWidth="1"/>
    <col min="15637" max="15637" width="19" style="245" customWidth="1"/>
    <col min="15638" max="15638" width="1.85546875" style="245" customWidth="1"/>
    <col min="15639" max="15639" width="16.7109375" style="245" customWidth="1"/>
    <col min="15640" max="15640" width="1.85546875" style="245" customWidth="1"/>
    <col min="15641" max="15641" width="16.7109375" style="245" customWidth="1"/>
    <col min="15642" max="15642" width="1.85546875" style="245" customWidth="1"/>
    <col min="15643" max="15643" width="16.7109375" style="245" customWidth="1"/>
    <col min="15644" max="15644" width="1.85546875" style="245" customWidth="1"/>
    <col min="15645" max="15645" width="16.7109375" style="245" customWidth="1"/>
    <col min="15646" max="15646" width="1.85546875" style="245" customWidth="1"/>
    <col min="15647" max="15647" width="17.85546875" style="245" customWidth="1"/>
    <col min="15648" max="15648" width="5.28515625" style="245" customWidth="1"/>
    <col min="15649" max="15649" width="16.7109375" style="245" customWidth="1"/>
    <col min="15650" max="15650" width="5.28515625" style="245" customWidth="1"/>
    <col min="15651" max="15651" width="14.42578125" style="245" customWidth="1"/>
    <col min="15652" max="15652" width="1.85546875" style="245" customWidth="1"/>
    <col min="15653" max="15653" width="16.7109375" style="245" customWidth="1"/>
    <col min="15654" max="15863" width="11" style="245"/>
    <col min="15864" max="15864" width="7.5703125" style="245" customWidth="1"/>
    <col min="15865" max="15865" width="15.5703125" style="245" customWidth="1"/>
    <col min="15866" max="15866" width="20.140625" style="245" customWidth="1"/>
    <col min="15867" max="15867" width="2.28515625" style="245" customWidth="1"/>
    <col min="15868" max="15868" width="17.42578125" style="245" customWidth="1"/>
    <col min="15869" max="15869" width="1.85546875" style="245" customWidth="1"/>
    <col min="15870" max="15870" width="18.7109375" style="245" customWidth="1"/>
    <col min="15871" max="15871" width="1.85546875" style="245" customWidth="1"/>
    <col min="15872" max="15872" width="23" style="245" customWidth="1"/>
    <col min="15873" max="15873" width="1.85546875" style="245" customWidth="1"/>
    <col min="15874" max="15874" width="17.42578125" style="245" customWidth="1"/>
    <col min="15875" max="15875" width="3" style="245" customWidth="1"/>
    <col min="15876" max="15876" width="16.28515625" style="245" customWidth="1"/>
    <col min="15877" max="15877" width="3" style="245" customWidth="1"/>
    <col min="15878" max="15878" width="14.140625" style="245" customWidth="1"/>
    <col min="15879" max="15879" width="2" style="245" customWidth="1"/>
    <col min="15880" max="15880" width="15.85546875" style="245" customWidth="1"/>
    <col min="15881" max="15881" width="3.140625" style="245" customWidth="1"/>
    <col min="15882" max="15882" width="17.85546875" style="245" customWidth="1"/>
    <col min="15883" max="15883" width="2.5703125" style="245" customWidth="1"/>
    <col min="15884" max="15884" width="15.5703125" style="245" customWidth="1"/>
    <col min="15885" max="15885" width="1.85546875" style="245" customWidth="1"/>
    <col min="15886" max="15886" width="14.140625" style="245" customWidth="1"/>
    <col min="15887" max="15887" width="11" style="245" customWidth="1"/>
    <col min="15888" max="15889" width="25" style="245" customWidth="1"/>
    <col min="15890" max="15890" width="1.85546875" style="245" customWidth="1"/>
    <col min="15891" max="15891" width="17.85546875" style="245" customWidth="1"/>
    <col min="15892" max="15892" width="1.85546875" style="245" customWidth="1"/>
    <col min="15893" max="15893" width="19" style="245" customWidth="1"/>
    <col min="15894" max="15894" width="1.85546875" style="245" customWidth="1"/>
    <col min="15895" max="15895" width="16.7109375" style="245" customWidth="1"/>
    <col min="15896" max="15896" width="1.85546875" style="245" customWidth="1"/>
    <col min="15897" max="15897" width="16.7109375" style="245" customWidth="1"/>
    <col min="15898" max="15898" width="1.85546875" style="245" customWidth="1"/>
    <col min="15899" max="15899" width="16.7109375" style="245" customWidth="1"/>
    <col min="15900" max="15900" width="1.85546875" style="245" customWidth="1"/>
    <col min="15901" max="15901" width="16.7109375" style="245" customWidth="1"/>
    <col min="15902" max="15902" width="1.85546875" style="245" customWidth="1"/>
    <col min="15903" max="15903" width="17.85546875" style="245" customWidth="1"/>
    <col min="15904" max="15904" width="5.28515625" style="245" customWidth="1"/>
    <col min="15905" max="15905" width="16.7109375" style="245" customWidth="1"/>
    <col min="15906" max="15906" width="5.28515625" style="245" customWidth="1"/>
    <col min="15907" max="15907" width="14.42578125" style="245" customWidth="1"/>
    <col min="15908" max="15908" width="1.85546875" style="245" customWidth="1"/>
    <col min="15909" max="15909" width="16.7109375" style="245" customWidth="1"/>
    <col min="15910" max="16119" width="11" style="245"/>
    <col min="16120" max="16120" width="7.5703125" style="245" customWidth="1"/>
    <col min="16121" max="16121" width="15.5703125" style="245" customWidth="1"/>
    <col min="16122" max="16122" width="20.140625" style="245" customWidth="1"/>
    <col min="16123" max="16123" width="2.28515625" style="245" customWidth="1"/>
    <col min="16124" max="16124" width="17.42578125" style="245" customWidth="1"/>
    <col min="16125" max="16125" width="1.85546875" style="245" customWidth="1"/>
    <col min="16126" max="16126" width="18.7109375" style="245" customWidth="1"/>
    <col min="16127" max="16127" width="1.85546875" style="245" customWidth="1"/>
    <col min="16128" max="16128" width="23" style="245" customWidth="1"/>
    <col min="16129" max="16129" width="1.85546875" style="245" customWidth="1"/>
    <col min="16130" max="16130" width="17.42578125" style="245" customWidth="1"/>
    <col min="16131" max="16131" width="3" style="245" customWidth="1"/>
    <col min="16132" max="16132" width="16.28515625" style="245" customWidth="1"/>
    <col min="16133" max="16133" width="3" style="245" customWidth="1"/>
    <col min="16134" max="16134" width="14.140625" style="245" customWidth="1"/>
    <col min="16135" max="16135" width="2" style="245" customWidth="1"/>
    <col min="16136" max="16136" width="15.85546875" style="245" customWidth="1"/>
    <col min="16137" max="16137" width="3.140625" style="245" customWidth="1"/>
    <col min="16138" max="16138" width="17.85546875" style="245" customWidth="1"/>
    <col min="16139" max="16139" width="2.5703125" style="245" customWidth="1"/>
    <col min="16140" max="16140" width="15.5703125" style="245" customWidth="1"/>
    <col min="16141" max="16141" width="1.85546875" style="245" customWidth="1"/>
    <col min="16142" max="16142" width="14.140625" style="245" customWidth="1"/>
    <col min="16143" max="16143" width="11" style="245" customWidth="1"/>
    <col min="16144" max="16145" width="25" style="245" customWidth="1"/>
    <col min="16146" max="16146" width="1.85546875" style="245" customWidth="1"/>
    <col min="16147" max="16147" width="17.85546875" style="245" customWidth="1"/>
    <col min="16148" max="16148" width="1.85546875" style="245" customWidth="1"/>
    <col min="16149" max="16149" width="19" style="245" customWidth="1"/>
    <col min="16150" max="16150" width="1.85546875" style="245" customWidth="1"/>
    <col min="16151" max="16151" width="16.7109375" style="245" customWidth="1"/>
    <col min="16152" max="16152" width="1.85546875" style="245" customWidth="1"/>
    <col min="16153" max="16153" width="16.7109375" style="245" customWidth="1"/>
    <col min="16154" max="16154" width="1.85546875" style="245" customWidth="1"/>
    <col min="16155" max="16155" width="16.7109375" style="245" customWidth="1"/>
    <col min="16156" max="16156" width="1.85546875" style="245" customWidth="1"/>
    <col min="16157" max="16157" width="16.7109375" style="245" customWidth="1"/>
    <col min="16158" max="16158" width="1.85546875" style="245" customWidth="1"/>
    <col min="16159" max="16159" width="17.85546875" style="245" customWidth="1"/>
    <col min="16160" max="16160" width="5.28515625" style="245" customWidth="1"/>
    <col min="16161" max="16161" width="16.7109375" style="245" customWidth="1"/>
    <col min="16162" max="16162" width="5.28515625" style="245" customWidth="1"/>
    <col min="16163" max="16163" width="14.42578125" style="245" customWidth="1"/>
    <col min="16164" max="16164" width="1.85546875" style="245" customWidth="1"/>
    <col min="16165" max="16165" width="16.7109375" style="245" customWidth="1"/>
    <col min="16166" max="16384" width="11" style="245"/>
  </cols>
  <sheetData>
    <row r="1" spans="1:37" ht="18.75" customHeight="1">
      <c r="A1" s="245"/>
      <c r="R1" s="254"/>
      <c r="S1" s="254"/>
      <c r="T1" s="254"/>
      <c r="U1" s="261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</row>
    <row r="2" spans="1:37">
      <c r="A2" s="245"/>
      <c r="C2" s="261" t="s">
        <v>159</v>
      </c>
      <c r="D2" s="261" t="s">
        <v>160</v>
      </c>
      <c r="E2" s="261" t="s">
        <v>161</v>
      </c>
      <c r="F2" s="262" t="s">
        <v>162</v>
      </c>
      <c r="G2" s="261" t="s">
        <v>163</v>
      </c>
      <c r="H2" s="261" t="s">
        <v>164</v>
      </c>
      <c r="I2" s="261" t="s">
        <v>252</v>
      </c>
      <c r="J2" s="261" t="s">
        <v>253</v>
      </c>
      <c r="K2" s="263" t="s">
        <v>254</v>
      </c>
      <c r="L2" s="263" t="s">
        <v>255</v>
      </c>
      <c r="M2" s="263" t="s">
        <v>256</v>
      </c>
      <c r="N2" s="264" t="s">
        <v>257</v>
      </c>
      <c r="R2" s="254"/>
      <c r="S2" s="254"/>
      <c r="T2" s="254"/>
      <c r="U2" s="261"/>
      <c r="V2" s="254"/>
      <c r="W2" s="254"/>
      <c r="X2" s="254"/>
      <c r="Y2" s="261"/>
      <c r="Z2" s="254"/>
      <c r="AA2" s="254"/>
      <c r="AB2" s="254"/>
      <c r="AC2" s="254"/>
      <c r="AD2" s="254"/>
      <c r="AE2" s="261"/>
      <c r="AF2" s="254"/>
      <c r="AG2" s="254"/>
      <c r="AH2" s="254"/>
      <c r="AI2" s="254"/>
      <c r="AJ2" s="254"/>
      <c r="AK2" s="254"/>
    </row>
    <row r="3" spans="1:37" ht="14.25">
      <c r="A3" s="245"/>
      <c r="C3" s="254"/>
      <c r="D3" s="254"/>
      <c r="E3" s="261" t="s">
        <v>500</v>
      </c>
      <c r="F3" s="259"/>
      <c r="G3" s="254"/>
      <c r="H3" s="254"/>
      <c r="I3" s="254"/>
      <c r="J3" s="254"/>
      <c r="K3" s="254"/>
      <c r="L3" s="260"/>
      <c r="M3" s="260"/>
      <c r="N3" s="260"/>
      <c r="P3" s="265"/>
      <c r="R3" s="254"/>
      <c r="S3" s="261"/>
      <c r="T3" s="254"/>
      <c r="U3" s="261"/>
      <c r="V3" s="254"/>
      <c r="W3" s="254"/>
      <c r="X3" s="254"/>
      <c r="Y3" s="261"/>
      <c r="Z3" s="254"/>
      <c r="AA3" s="261"/>
      <c r="AB3" s="254"/>
      <c r="AC3" s="261"/>
      <c r="AD3" s="254"/>
      <c r="AE3" s="261"/>
      <c r="AF3" s="254"/>
      <c r="AG3" s="261"/>
      <c r="AH3" s="254"/>
      <c r="AI3" s="261"/>
      <c r="AJ3" s="254"/>
      <c r="AK3" s="261"/>
    </row>
    <row r="4" spans="1:37">
      <c r="A4" s="245"/>
      <c r="C4" s="254"/>
      <c r="D4" s="254"/>
      <c r="E4" s="261" t="s">
        <v>501</v>
      </c>
      <c r="F4" s="259"/>
      <c r="H4" s="254"/>
      <c r="I4" s="254"/>
      <c r="J4" s="261" t="s">
        <v>502</v>
      </c>
      <c r="K4" s="261" t="s">
        <v>691</v>
      </c>
      <c r="L4" s="264" t="s">
        <v>690</v>
      </c>
      <c r="M4" s="260"/>
      <c r="N4" s="260"/>
      <c r="R4" s="254"/>
      <c r="S4" s="261"/>
      <c r="T4" s="254"/>
      <c r="U4" s="261"/>
      <c r="V4" s="254"/>
      <c r="W4" s="254"/>
      <c r="X4" s="254"/>
      <c r="Y4" s="261"/>
      <c r="Z4" s="254"/>
      <c r="AA4" s="261"/>
      <c r="AB4" s="254"/>
      <c r="AC4" s="261"/>
      <c r="AD4" s="254"/>
      <c r="AE4" s="261"/>
      <c r="AF4" s="254"/>
      <c r="AG4" s="261"/>
      <c r="AH4" s="254"/>
      <c r="AI4" s="261"/>
      <c r="AJ4" s="254"/>
      <c r="AK4" s="261"/>
    </row>
    <row r="5" spans="1:37">
      <c r="A5" s="245"/>
      <c r="B5" s="261" t="s">
        <v>503</v>
      </c>
      <c r="C5" s="254"/>
      <c r="D5" s="261" t="s">
        <v>504</v>
      </c>
      <c r="E5" s="261" t="s">
        <v>505</v>
      </c>
      <c r="F5" s="259"/>
      <c r="G5" s="261" t="s">
        <v>285</v>
      </c>
      <c r="H5" s="261" t="s">
        <v>285</v>
      </c>
      <c r="I5" s="261" t="s">
        <v>506</v>
      </c>
      <c r="J5" s="261" t="s">
        <v>507</v>
      </c>
      <c r="K5" s="263" t="s">
        <v>771</v>
      </c>
      <c r="L5" s="263" t="s">
        <v>191</v>
      </c>
      <c r="M5" s="263" t="s">
        <v>508</v>
      </c>
      <c r="N5" s="263" t="s">
        <v>285</v>
      </c>
      <c r="R5" s="254"/>
      <c r="S5" s="261"/>
      <c r="T5" s="254"/>
      <c r="U5" s="261"/>
      <c r="V5" s="254"/>
      <c r="W5" s="261"/>
      <c r="X5" s="254"/>
      <c r="Y5" s="261"/>
      <c r="Z5" s="254"/>
      <c r="AA5" s="261"/>
      <c r="AB5" s="254"/>
      <c r="AC5" s="261"/>
      <c r="AD5" s="254"/>
      <c r="AE5" s="261"/>
      <c r="AF5" s="254"/>
      <c r="AG5" s="261"/>
      <c r="AH5" s="254"/>
      <c r="AI5" s="261"/>
      <c r="AJ5" s="254"/>
      <c r="AK5" s="261"/>
    </row>
    <row r="6" spans="1:37">
      <c r="A6" s="245"/>
      <c r="B6" s="261" t="s">
        <v>509</v>
      </c>
      <c r="C6" s="262" t="s">
        <v>510</v>
      </c>
      <c r="D6" s="262" t="s">
        <v>511</v>
      </c>
      <c r="E6" s="262" t="s">
        <v>512</v>
      </c>
      <c r="F6" s="259"/>
      <c r="G6" s="262" t="s">
        <v>181</v>
      </c>
      <c r="H6" s="262" t="s">
        <v>510</v>
      </c>
      <c r="I6" s="262" t="s">
        <v>513</v>
      </c>
      <c r="J6" s="262" t="s">
        <v>770</v>
      </c>
      <c r="K6" s="266" t="s">
        <v>514</v>
      </c>
      <c r="L6" s="266" t="s">
        <v>514</v>
      </c>
      <c r="M6" s="266" t="s">
        <v>191</v>
      </c>
      <c r="N6" s="263" t="s">
        <v>515</v>
      </c>
    </row>
    <row r="7" spans="1:37">
      <c r="A7" s="245"/>
      <c r="B7" s="267" t="s">
        <v>516</v>
      </c>
      <c r="C7" s="262" t="s">
        <v>517</v>
      </c>
      <c r="D7" s="262" t="s">
        <v>518</v>
      </c>
      <c r="E7" s="262" t="s">
        <v>518</v>
      </c>
      <c r="F7" s="262" t="s">
        <v>190</v>
      </c>
      <c r="G7" s="262" t="s">
        <v>519</v>
      </c>
      <c r="H7" s="262" t="s">
        <v>520</v>
      </c>
      <c r="I7" s="262" t="s">
        <v>521</v>
      </c>
      <c r="J7" s="262" t="s">
        <v>522</v>
      </c>
      <c r="K7" s="266" t="s">
        <v>523</v>
      </c>
      <c r="L7" s="266" t="s">
        <v>523</v>
      </c>
      <c r="M7" s="266" t="s">
        <v>524</v>
      </c>
      <c r="N7" s="263" t="s">
        <v>525</v>
      </c>
      <c r="Q7" s="268"/>
    </row>
    <row r="8" spans="1:37" hidden="1">
      <c r="A8" s="269">
        <v>1</v>
      </c>
      <c r="B8" s="261" t="s">
        <v>526</v>
      </c>
      <c r="C8" s="270">
        <v>3298951</v>
      </c>
      <c r="D8" s="270">
        <v>963839</v>
      </c>
      <c r="E8" s="270">
        <v>348748</v>
      </c>
      <c r="F8" s="271">
        <v>807047</v>
      </c>
      <c r="G8" s="270">
        <v>1220170</v>
      </c>
      <c r="H8" s="270">
        <v>-40853</v>
      </c>
      <c r="I8" s="270">
        <v>807047</v>
      </c>
      <c r="J8" s="270">
        <v>766194</v>
      </c>
      <c r="K8" s="270"/>
      <c r="L8" s="268">
        <v>628460</v>
      </c>
      <c r="N8" s="268">
        <v>137734</v>
      </c>
      <c r="S8" s="270"/>
      <c r="U8" s="270"/>
      <c r="W8" s="270"/>
      <c r="Y8" s="270"/>
      <c r="AA8" s="270"/>
      <c r="AC8" s="270"/>
      <c r="AE8" s="270"/>
      <c r="AG8" s="270"/>
      <c r="AK8" s="270"/>
    </row>
    <row r="9" spans="1:37" hidden="1">
      <c r="A9" s="269">
        <v>3</v>
      </c>
    </row>
    <row r="10" spans="1:37" hidden="1">
      <c r="A10" s="269">
        <v>4</v>
      </c>
      <c r="B10" s="261" t="s">
        <v>527</v>
      </c>
      <c r="C10" s="270">
        <v>217534</v>
      </c>
      <c r="D10" s="270">
        <v>40331</v>
      </c>
      <c r="E10" s="270">
        <v>51130</v>
      </c>
      <c r="F10" s="271">
        <v>36511</v>
      </c>
      <c r="G10" s="270">
        <v>81883</v>
      </c>
      <c r="H10" s="270">
        <v>7679</v>
      </c>
      <c r="I10" s="270">
        <v>46521</v>
      </c>
      <c r="J10" s="270">
        <v>54200</v>
      </c>
      <c r="K10" s="270"/>
      <c r="L10" s="268">
        <v>6937</v>
      </c>
      <c r="N10" s="268">
        <v>47263</v>
      </c>
      <c r="S10" s="270"/>
      <c r="U10" s="270"/>
      <c r="W10" s="270"/>
      <c r="Y10" s="270"/>
      <c r="AA10" s="270"/>
      <c r="AC10" s="270"/>
      <c r="AE10" s="270"/>
      <c r="AG10" s="270"/>
      <c r="AK10" s="270"/>
    </row>
    <row r="11" spans="1:37" hidden="1">
      <c r="A11" s="269">
        <v>5</v>
      </c>
      <c r="B11" s="261" t="s">
        <v>528</v>
      </c>
      <c r="C11" s="270">
        <v>189542</v>
      </c>
      <c r="D11" s="270">
        <v>49347</v>
      </c>
      <c r="E11" s="270">
        <v>25195</v>
      </c>
      <c r="F11" s="271">
        <v>39083</v>
      </c>
      <c r="G11" s="270">
        <v>98889</v>
      </c>
      <c r="H11" s="270">
        <v>-22972</v>
      </c>
      <c r="I11" s="270">
        <v>42586</v>
      </c>
      <c r="J11" s="270">
        <v>19614</v>
      </c>
      <c r="K11" s="270"/>
      <c r="L11" s="268">
        <v>914</v>
      </c>
      <c r="N11" s="268">
        <v>18700</v>
      </c>
      <c r="S11" s="270"/>
      <c r="U11" s="270"/>
      <c r="W11" s="270"/>
      <c r="Y11" s="270"/>
      <c r="AA11" s="270"/>
      <c r="AC11" s="270"/>
      <c r="AE11" s="270"/>
      <c r="AG11" s="270"/>
      <c r="AK11" s="270"/>
    </row>
    <row r="12" spans="1:37" hidden="1">
      <c r="A12" s="269">
        <v>6</v>
      </c>
      <c r="B12" s="261" t="s">
        <v>529</v>
      </c>
      <c r="C12" s="270">
        <v>341863</v>
      </c>
      <c r="D12" s="270">
        <v>76460</v>
      </c>
      <c r="E12" s="270">
        <v>182743</v>
      </c>
      <c r="F12" s="271">
        <v>41237</v>
      </c>
      <c r="G12" s="270">
        <v>105740</v>
      </c>
      <c r="H12" s="270">
        <v>-64317</v>
      </c>
      <c r="I12" s="270">
        <v>94441</v>
      </c>
      <c r="J12" s="270">
        <v>30124</v>
      </c>
      <c r="K12" s="270"/>
      <c r="L12" s="268">
        <v>73</v>
      </c>
      <c r="N12" s="268">
        <v>30051</v>
      </c>
      <c r="S12" s="270"/>
      <c r="U12" s="270"/>
      <c r="W12" s="270"/>
      <c r="Y12" s="270"/>
      <c r="AA12" s="270"/>
      <c r="AC12" s="270"/>
      <c r="AE12" s="270"/>
      <c r="AG12" s="270"/>
      <c r="AK12" s="270"/>
    </row>
    <row r="13" spans="1:37" hidden="1">
      <c r="A13" s="269">
        <v>7</v>
      </c>
      <c r="B13" s="261" t="s">
        <v>530</v>
      </c>
      <c r="C13" s="270">
        <v>502589</v>
      </c>
      <c r="D13" s="270">
        <v>92990</v>
      </c>
      <c r="E13" s="270">
        <v>269625</v>
      </c>
      <c r="F13" s="271">
        <v>42870</v>
      </c>
      <c r="G13" s="270">
        <v>118861</v>
      </c>
      <c r="H13" s="270">
        <v>-21757</v>
      </c>
      <c r="I13" s="270">
        <v>48941</v>
      </c>
      <c r="J13" s="270">
        <v>27184</v>
      </c>
      <c r="K13" s="270"/>
      <c r="L13" s="268">
        <v>4410</v>
      </c>
      <c r="N13" s="268">
        <v>22774</v>
      </c>
      <c r="S13" s="270"/>
      <c r="U13" s="270"/>
      <c r="W13" s="270"/>
      <c r="Y13" s="270"/>
      <c r="AA13" s="270"/>
      <c r="AC13" s="270"/>
      <c r="AE13" s="270"/>
      <c r="AG13" s="270"/>
      <c r="AH13" s="267"/>
      <c r="AK13" s="270"/>
    </row>
    <row r="14" spans="1:37" hidden="1">
      <c r="A14" s="269">
        <v>8</v>
      </c>
      <c r="B14" s="261" t="s">
        <v>531</v>
      </c>
      <c r="C14" s="270">
        <v>1067604</v>
      </c>
      <c r="D14" s="270">
        <v>115430</v>
      </c>
      <c r="E14" s="270">
        <v>945442</v>
      </c>
      <c r="F14" s="271">
        <v>49355</v>
      </c>
      <c r="G14" s="270">
        <v>145610</v>
      </c>
      <c r="H14" s="270">
        <v>-188233</v>
      </c>
      <c r="I14" s="270">
        <v>55427</v>
      </c>
      <c r="J14" s="270">
        <v>-132806</v>
      </c>
      <c r="K14" s="270"/>
      <c r="L14" s="268">
        <v>0</v>
      </c>
      <c r="N14" s="268">
        <v>-132806</v>
      </c>
      <c r="P14" s="268"/>
      <c r="S14" s="270"/>
      <c r="U14" s="270"/>
      <c r="W14" s="270"/>
      <c r="Y14" s="270"/>
      <c r="AA14" s="270"/>
      <c r="AC14" s="270"/>
      <c r="AE14" s="270"/>
      <c r="AG14" s="270"/>
      <c r="AH14" s="254"/>
      <c r="AK14" s="270"/>
    </row>
    <row r="15" spans="1:37" hidden="1">
      <c r="A15" s="269">
        <v>9</v>
      </c>
      <c r="B15" s="261"/>
      <c r="C15" s="270"/>
      <c r="D15" s="270"/>
      <c r="E15" s="270"/>
      <c r="F15" s="271"/>
      <c r="G15" s="270"/>
      <c r="H15" s="270"/>
      <c r="I15" s="270"/>
      <c r="J15" s="270"/>
      <c r="K15" s="270"/>
      <c r="L15" s="268"/>
      <c r="N15" s="268"/>
      <c r="P15" s="268"/>
      <c r="S15" s="270"/>
      <c r="U15" s="270"/>
      <c r="W15" s="270"/>
      <c r="Y15" s="270"/>
      <c r="AA15" s="270"/>
      <c r="AC15" s="270"/>
      <c r="AE15" s="270"/>
      <c r="AG15" s="270"/>
      <c r="AH15" s="254"/>
      <c r="AK15" s="270"/>
    </row>
    <row r="16" spans="1:37" hidden="1">
      <c r="A16" s="269">
        <v>10</v>
      </c>
      <c r="B16" s="261" t="s">
        <v>532</v>
      </c>
      <c r="C16" s="270">
        <v>1485741</v>
      </c>
      <c r="D16" s="270">
        <v>114960</v>
      </c>
      <c r="E16" s="270">
        <v>1255810</v>
      </c>
      <c r="F16" s="271">
        <v>57967</v>
      </c>
      <c r="G16" s="270">
        <v>153763</v>
      </c>
      <c r="H16" s="270">
        <v>-96759</v>
      </c>
      <c r="I16" s="270">
        <v>64039</v>
      </c>
      <c r="J16" s="270">
        <v>-32720</v>
      </c>
      <c r="K16" s="270"/>
      <c r="L16" s="268">
        <v>0</v>
      </c>
      <c r="N16" s="268">
        <v>-32720</v>
      </c>
      <c r="S16" s="270"/>
      <c r="U16" s="270"/>
      <c r="W16" s="270"/>
      <c r="Y16" s="270"/>
      <c r="AA16" s="270"/>
      <c r="AC16" s="270"/>
      <c r="AE16" s="270"/>
      <c r="AG16" s="270"/>
      <c r="AH16" s="254"/>
      <c r="AK16" s="270"/>
    </row>
    <row r="17" spans="1:37" hidden="1">
      <c r="A17" s="269">
        <v>11</v>
      </c>
      <c r="B17" s="261" t="s">
        <v>533</v>
      </c>
      <c r="C17" s="270">
        <v>2248654</v>
      </c>
      <c r="D17" s="270">
        <v>146870</v>
      </c>
      <c r="E17" s="270">
        <v>1898859</v>
      </c>
      <c r="F17" s="271">
        <v>67644</v>
      </c>
      <c r="G17" s="270">
        <v>170942</v>
      </c>
      <c r="H17" s="270">
        <v>-35661</v>
      </c>
      <c r="I17" s="270">
        <v>257382</v>
      </c>
      <c r="J17" s="270">
        <v>221721</v>
      </c>
      <c r="K17" s="270"/>
      <c r="L17" s="268">
        <v>192294</v>
      </c>
      <c r="N17" s="268">
        <v>29427</v>
      </c>
      <c r="S17" s="270"/>
      <c r="U17" s="270"/>
      <c r="W17" s="270"/>
      <c r="Y17" s="270"/>
      <c r="AA17" s="270"/>
      <c r="AC17" s="270"/>
      <c r="AE17" s="270"/>
      <c r="AG17" s="270"/>
      <c r="AH17" s="267"/>
      <c r="AK17" s="270"/>
    </row>
    <row r="18" spans="1:37" hidden="1">
      <c r="A18" s="269">
        <v>12</v>
      </c>
      <c r="B18" s="261" t="s">
        <v>534</v>
      </c>
      <c r="C18" s="270">
        <v>2371829</v>
      </c>
      <c r="D18" s="270">
        <v>137664</v>
      </c>
      <c r="E18" s="270">
        <v>1898178</v>
      </c>
      <c r="F18" s="271">
        <v>75711</v>
      </c>
      <c r="G18" s="270">
        <v>173888</v>
      </c>
      <c r="H18" s="270">
        <v>86388</v>
      </c>
      <c r="I18" s="270">
        <v>75711</v>
      </c>
      <c r="J18" s="270">
        <v>162099</v>
      </c>
      <c r="K18" s="270"/>
      <c r="L18" s="268">
        <v>37354</v>
      </c>
      <c r="N18" s="268">
        <v>124745</v>
      </c>
      <c r="S18" s="270"/>
      <c r="U18" s="270"/>
      <c r="W18" s="270"/>
      <c r="Y18" s="270"/>
      <c r="AA18" s="270"/>
      <c r="AC18" s="270"/>
      <c r="AE18" s="270"/>
      <c r="AG18" s="270"/>
      <c r="AK18" s="270"/>
    </row>
    <row r="19" spans="1:37" hidden="1">
      <c r="A19" s="269">
        <v>13</v>
      </c>
      <c r="B19" s="261" t="s">
        <v>535</v>
      </c>
      <c r="C19" s="270">
        <v>2179326</v>
      </c>
      <c r="D19" s="270">
        <v>135632</v>
      </c>
      <c r="E19" s="270">
        <v>1895153</v>
      </c>
      <c r="F19" s="271">
        <v>84162</v>
      </c>
      <c r="G19" s="270">
        <v>175257</v>
      </c>
      <c r="H19" s="270">
        <v>-110878</v>
      </c>
      <c r="I19" s="270">
        <v>84162</v>
      </c>
      <c r="J19" s="270">
        <v>-26716</v>
      </c>
      <c r="K19" s="270"/>
      <c r="L19" s="268">
        <v>10587</v>
      </c>
      <c r="N19" s="268">
        <v>-37303</v>
      </c>
      <c r="S19" s="270"/>
      <c r="U19" s="270"/>
      <c r="W19" s="270"/>
      <c r="Y19" s="270"/>
      <c r="AA19" s="270"/>
      <c r="AC19" s="270"/>
      <c r="AE19" s="270"/>
      <c r="AG19" s="270"/>
      <c r="AK19" s="270"/>
    </row>
    <row r="20" spans="1:37" hidden="1">
      <c r="A20" s="269">
        <v>14</v>
      </c>
      <c r="B20" s="261" t="s">
        <v>536</v>
      </c>
      <c r="C20" s="270">
        <v>2014040</v>
      </c>
      <c r="D20" s="270">
        <v>154184</v>
      </c>
      <c r="E20" s="270">
        <v>1826711</v>
      </c>
      <c r="F20" s="271">
        <v>91552</v>
      </c>
      <c r="G20" s="270">
        <v>199448</v>
      </c>
      <c r="H20" s="270">
        <v>-257855</v>
      </c>
      <c r="I20" s="270">
        <v>91552</v>
      </c>
      <c r="J20" s="270">
        <v>-166303</v>
      </c>
      <c r="K20" s="270"/>
      <c r="L20" s="268">
        <v>2471</v>
      </c>
      <c r="N20" s="268">
        <v>-168774</v>
      </c>
      <c r="S20" s="270"/>
      <c r="U20" s="270"/>
      <c r="W20" s="270"/>
      <c r="Y20" s="270"/>
      <c r="AA20" s="270"/>
      <c r="AC20" s="270"/>
      <c r="AE20" s="270"/>
      <c r="AG20" s="270"/>
      <c r="AK20" s="270"/>
    </row>
    <row r="21" spans="1:37" hidden="1">
      <c r="A21" s="269">
        <v>15</v>
      </c>
    </row>
    <row r="22" spans="1:37" hidden="1">
      <c r="A22" s="269">
        <v>16</v>
      </c>
      <c r="B22" s="261" t="s">
        <v>537</v>
      </c>
      <c r="C22" s="270">
        <v>2303479</v>
      </c>
      <c r="D22" s="270">
        <v>183326</v>
      </c>
      <c r="E22" s="270">
        <v>1796029</v>
      </c>
      <c r="F22" s="271">
        <v>98288</v>
      </c>
      <c r="G22" s="270">
        <v>204416</v>
      </c>
      <c r="H22" s="270">
        <v>21420</v>
      </c>
      <c r="I22" s="270">
        <v>98288</v>
      </c>
      <c r="J22" s="270">
        <v>119708</v>
      </c>
      <c r="K22" s="270"/>
      <c r="L22" s="268">
        <v>149778</v>
      </c>
      <c r="N22" s="268">
        <v>-30070</v>
      </c>
      <c r="S22" s="270"/>
      <c r="U22" s="270"/>
      <c r="W22" s="270"/>
      <c r="Y22" s="270"/>
      <c r="AA22" s="270"/>
      <c r="AC22" s="270"/>
      <c r="AE22" s="270"/>
      <c r="AG22" s="270"/>
      <c r="AK22" s="270"/>
    </row>
    <row r="23" spans="1:37" hidden="1">
      <c r="A23" s="269">
        <v>17</v>
      </c>
      <c r="B23" s="261" t="s">
        <v>538</v>
      </c>
      <c r="C23" s="270">
        <v>2273508</v>
      </c>
      <c r="D23" s="270">
        <v>173694</v>
      </c>
      <c r="E23" s="270">
        <v>1760205</v>
      </c>
      <c r="F23" s="271">
        <v>100104</v>
      </c>
      <c r="G23" s="270">
        <v>189446</v>
      </c>
      <c r="H23" s="270">
        <v>50059</v>
      </c>
      <c r="I23" s="270">
        <v>100104</v>
      </c>
      <c r="J23" s="270">
        <v>150163</v>
      </c>
      <c r="K23" s="270"/>
      <c r="L23" s="268">
        <v>32875</v>
      </c>
      <c r="N23" s="268">
        <v>117288</v>
      </c>
      <c r="S23" s="270"/>
      <c r="U23" s="270"/>
      <c r="W23" s="270"/>
      <c r="Y23" s="270"/>
      <c r="AA23" s="270"/>
      <c r="AC23" s="270"/>
      <c r="AE23" s="270"/>
      <c r="AG23" s="270"/>
      <c r="AK23" s="270"/>
    </row>
    <row r="24" spans="1:37" hidden="1">
      <c r="A24" s="269">
        <v>18</v>
      </c>
      <c r="B24" s="261" t="s">
        <v>539</v>
      </c>
      <c r="C24" s="270">
        <v>2315035</v>
      </c>
      <c r="D24" s="270">
        <v>198721</v>
      </c>
      <c r="E24" s="270">
        <v>1527829</v>
      </c>
      <c r="F24" s="271">
        <v>105338</v>
      </c>
      <c r="G24" s="270">
        <v>197462</v>
      </c>
      <c r="H24" s="270">
        <v>285685</v>
      </c>
      <c r="I24" s="270">
        <v>105338</v>
      </c>
      <c r="J24" s="270">
        <v>391023</v>
      </c>
      <c r="K24" s="270"/>
      <c r="L24" s="268">
        <v>63336</v>
      </c>
      <c r="N24" s="268">
        <v>327687</v>
      </c>
      <c r="S24" s="270"/>
      <c r="U24" s="270"/>
      <c r="W24" s="270"/>
      <c r="Y24" s="270"/>
      <c r="AA24" s="270"/>
      <c r="AC24" s="270"/>
      <c r="AE24" s="270"/>
      <c r="AG24" s="270"/>
      <c r="AK24" s="270"/>
    </row>
    <row r="25" spans="1:37" hidden="1">
      <c r="A25" s="269">
        <v>19</v>
      </c>
      <c r="B25" s="261" t="s">
        <v>540</v>
      </c>
      <c r="C25" s="270">
        <v>2482482</v>
      </c>
      <c r="D25" s="270">
        <v>216777</v>
      </c>
      <c r="E25" s="270">
        <v>1572046</v>
      </c>
      <c r="F25" s="271">
        <v>103047</v>
      </c>
      <c r="G25" s="270">
        <v>167559</v>
      </c>
      <c r="H25" s="270">
        <v>423053</v>
      </c>
      <c r="I25" s="270">
        <v>103047</v>
      </c>
      <c r="J25" s="270">
        <v>526100</v>
      </c>
      <c r="K25" s="270"/>
      <c r="L25" s="268">
        <v>114583</v>
      </c>
      <c r="N25" s="268">
        <v>411517</v>
      </c>
      <c r="S25" s="270"/>
      <c r="U25" s="270"/>
      <c r="W25" s="270"/>
      <c r="Y25" s="270"/>
      <c r="AA25" s="270"/>
      <c r="AC25" s="270"/>
      <c r="AE25" s="270"/>
      <c r="AG25" s="270"/>
      <c r="AK25" s="270"/>
    </row>
    <row r="26" spans="1:37" hidden="1">
      <c r="A26" s="269">
        <v>20</v>
      </c>
      <c r="B26" s="261" t="s">
        <v>541</v>
      </c>
      <c r="C26" s="270">
        <v>2142645</v>
      </c>
      <c r="D26" s="270">
        <v>287360</v>
      </c>
      <c r="E26" s="270">
        <v>1821930</v>
      </c>
      <c r="F26" s="271">
        <v>110403</v>
      </c>
      <c r="G26" s="270">
        <v>169711</v>
      </c>
      <c r="H26" s="270">
        <v>-246759</v>
      </c>
      <c r="I26" s="270">
        <v>110403</v>
      </c>
      <c r="J26" s="270">
        <v>-136356</v>
      </c>
      <c r="K26" s="270"/>
      <c r="L26" s="268">
        <v>57543</v>
      </c>
      <c r="N26" s="268">
        <v>-193899</v>
      </c>
      <c r="S26" s="270"/>
      <c r="U26" s="270"/>
      <c r="W26" s="270"/>
      <c r="Y26" s="270"/>
      <c r="AA26" s="270"/>
      <c r="AC26" s="270"/>
      <c r="AE26" s="270"/>
      <c r="AG26" s="270"/>
      <c r="AK26" s="270"/>
    </row>
    <row r="27" spans="1:37" hidden="1">
      <c r="A27" s="269">
        <v>21</v>
      </c>
      <c r="B27" s="261"/>
      <c r="C27" s="270"/>
      <c r="D27" s="270"/>
      <c r="E27" s="270"/>
      <c r="F27" s="271"/>
      <c r="G27" s="270"/>
      <c r="H27" s="270"/>
      <c r="I27" s="270"/>
      <c r="J27" s="270"/>
      <c r="K27" s="270"/>
      <c r="L27" s="268"/>
      <c r="N27" s="268"/>
      <c r="S27" s="270"/>
      <c r="U27" s="270"/>
      <c r="W27" s="270"/>
      <c r="Y27" s="270"/>
      <c r="AA27" s="270"/>
      <c r="AC27" s="270"/>
      <c r="AE27" s="270"/>
      <c r="AG27" s="270"/>
      <c r="AK27" s="270"/>
    </row>
    <row r="28" spans="1:37" hidden="1">
      <c r="A28" s="269">
        <v>22</v>
      </c>
      <c r="B28" s="261" t="s">
        <v>542</v>
      </c>
      <c r="C28" s="270">
        <v>2233989</v>
      </c>
      <c r="D28" s="270">
        <v>309915</v>
      </c>
      <c r="E28" s="270">
        <v>1868863</v>
      </c>
      <c r="F28" s="272">
        <v>118143</v>
      </c>
      <c r="G28" s="270">
        <v>186455</v>
      </c>
      <c r="H28" s="270">
        <v>-249387</v>
      </c>
      <c r="I28" s="270">
        <v>118143</v>
      </c>
      <c r="J28" s="270">
        <v>-131244</v>
      </c>
      <c r="K28" s="270"/>
      <c r="L28" s="268">
        <v>117974</v>
      </c>
      <c r="N28" s="268">
        <v>-249218</v>
      </c>
      <c r="S28" s="270"/>
      <c r="U28" s="270"/>
      <c r="W28" s="270"/>
      <c r="Y28" s="270"/>
      <c r="AA28" s="270"/>
      <c r="AC28" s="270"/>
      <c r="AE28" s="270"/>
      <c r="AG28" s="270"/>
      <c r="AK28" s="270"/>
    </row>
    <row r="29" spans="1:37" hidden="1">
      <c r="A29" s="269">
        <v>23</v>
      </c>
      <c r="B29" s="273">
        <v>1994</v>
      </c>
      <c r="C29" s="274">
        <v>2536059</v>
      </c>
      <c r="D29" s="270">
        <v>316352</v>
      </c>
      <c r="E29" s="270">
        <v>1934944</v>
      </c>
      <c r="F29" s="272">
        <v>125396</v>
      </c>
      <c r="G29" s="270">
        <v>197222</v>
      </c>
      <c r="H29" s="270">
        <v>-37855</v>
      </c>
      <c r="I29" s="270">
        <v>125396</v>
      </c>
      <c r="J29" s="270">
        <v>87541</v>
      </c>
      <c r="K29" s="270"/>
      <c r="L29" s="268">
        <v>135018</v>
      </c>
      <c r="N29" s="268">
        <v>-47477</v>
      </c>
      <c r="S29" s="270"/>
      <c r="U29" s="270"/>
      <c r="W29" s="270"/>
      <c r="Y29" s="270"/>
      <c r="AA29" s="270"/>
      <c r="AC29" s="270"/>
      <c r="AE29" s="270"/>
      <c r="AG29" s="270"/>
      <c r="AK29" s="270"/>
    </row>
    <row r="30" spans="1:37" hidden="1">
      <c r="A30" s="269">
        <v>24</v>
      </c>
      <c r="B30" s="273">
        <v>1995</v>
      </c>
      <c r="C30" s="274">
        <v>2704285</v>
      </c>
      <c r="D30" s="270">
        <v>327420</v>
      </c>
      <c r="E30" s="270">
        <v>1915529</v>
      </c>
      <c r="F30" s="272">
        <v>141798</v>
      </c>
      <c r="G30" s="270">
        <v>215850</v>
      </c>
      <c r="H30" s="270">
        <v>103688</v>
      </c>
      <c r="I30" s="270">
        <v>141798</v>
      </c>
      <c r="J30" s="270">
        <v>245486</v>
      </c>
      <c r="K30" s="270"/>
      <c r="L30" s="268">
        <v>196544</v>
      </c>
      <c r="N30" s="268">
        <v>48942</v>
      </c>
      <c r="S30" s="270"/>
      <c r="U30" s="270"/>
      <c r="W30" s="270"/>
      <c r="Y30" s="270"/>
      <c r="AA30" s="270"/>
      <c r="AC30" s="270"/>
      <c r="AE30" s="270"/>
      <c r="AG30" s="270"/>
      <c r="AK30" s="270"/>
    </row>
    <row r="31" spans="1:37" hidden="1">
      <c r="A31" s="269">
        <v>25</v>
      </c>
      <c r="B31" s="273">
        <v>1996</v>
      </c>
      <c r="C31" s="270">
        <v>2744510</v>
      </c>
      <c r="D31" s="270">
        <v>366808</v>
      </c>
      <c r="E31" s="270">
        <v>1959406</v>
      </c>
      <c r="F31" s="271">
        <v>151122</v>
      </c>
      <c r="G31" s="270">
        <v>208509</v>
      </c>
      <c r="H31" s="270">
        <v>58665</v>
      </c>
      <c r="I31" s="270">
        <v>154024</v>
      </c>
      <c r="J31" s="270">
        <v>197689</v>
      </c>
      <c r="K31" s="270"/>
      <c r="L31" s="268">
        <v>135010</v>
      </c>
      <c r="M31" s="268"/>
      <c r="N31" s="268">
        <v>62679</v>
      </c>
      <c r="S31" s="270"/>
      <c r="U31" s="270"/>
      <c r="W31" s="270"/>
      <c r="Y31" s="270"/>
      <c r="AA31" s="270"/>
      <c r="AC31" s="270"/>
      <c r="AE31" s="270"/>
      <c r="AF31" s="254"/>
      <c r="AG31" s="270"/>
      <c r="AK31" s="270"/>
    </row>
    <row r="32" spans="1:37" hidden="1">
      <c r="A32" s="269">
        <v>26</v>
      </c>
      <c r="B32" s="273">
        <v>1997</v>
      </c>
      <c r="C32" s="270">
        <v>1996439</v>
      </c>
      <c r="D32" s="245">
        <v>612961</v>
      </c>
      <c r="E32" s="245">
        <v>924789</v>
      </c>
      <c r="F32" s="247">
        <v>148215</v>
      </c>
      <c r="G32" s="245">
        <v>197238</v>
      </c>
      <c r="H32" s="270">
        <v>113236</v>
      </c>
      <c r="I32" s="270">
        <v>105956</v>
      </c>
      <c r="J32" s="270">
        <v>219192</v>
      </c>
      <c r="K32" s="270"/>
      <c r="L32" s="253">
        <v>82971</v>
      </c>
      <c r="M32" s="268">
        <v>25143</v>
      </c>
      <c r="N32" s="268">
        <v>111078</v>
      </c>
    </row>
    <row r="33" spans="1:37" hidden="1">
      <c r="A33" s="269">
        <v>27</v>
      </c>
      <c r="B33" s="275"/>
      <c r="O33" s="276"/>
    </row>
    <row r="34" spans="1:37" hidden="1">
      <c r="A34" s="269">
        <v>28</v>
      </c>
      <c r="B34" s="273">
        <v>1998</v>
      </c>
      <c r="C34" s="245">
        <v>2060750</v>
      </c>
      <c r="D34" s="245">
        <v>665005</v>
      </c>
      <c r="E34" s="245">
        <v>1091678</v>
      </c>
      <c r="F34" s="247">
        <v>162562</v>
      </c>
      <c r="G34" s="245">
        <v>201930</v>
      </c>
      <c r="H34" s="270">
        <v>-60425</v>
      </c>
      <c r="I34" s="270">
        <v>118892</v>
      </c>
      <c r="J34" s="270">
        <v>76812</v>
      </c>
      <c r="K34" s="270"/>
      <c r="L34" s="253">
        <v>61000</v>
      </c>
      <c r="N34" s="268">
        <v>15812</v>
      </c>
      <c r="O34" s="263"/>
    </row>
    <row r="35" spans="1:37" hidden="1">
      <c r="A35" s="269">
        <v>29</v>
      </c>
      <c r="B35" s="273">
        <v>1999</v>
      </c>
      <c r="C35" s="245">
        <v>2366423</v>
      </c>
      <c r="D35" s="245">
        <v>702717</v>
      </c>
      <c r="E35" s="245">
        <v>1196308</v>
      </c>
      <c r="F35" s="247">
        <v>162008</v>
      </c>
      <c r="G35" s="245">
        <v>182079</v>
      </c>
      <c r="H35" s="270">
        <v>123311</v>
      </c>
      <c r="I35" s="270">
        <v>118951</v>
      </c>
      <c r="J35" s="270">
        <v>311083</v>
      </c>
      <c r="K35" s="270"/>
      <c r="L35" s="253">
        <v>25000</v>
      </c>
      <c r="N35" s="268">
        <v>286083</v>
      </c>
      <c r="O35" s="263"/>
    </row>
    <row r="36" spans="1:37" hidden="1">
      <c r="A36" s="269">
        <v>30</v>
      </c>
      <c r="B36" s="273">
        <v>2000</v>
      </c>
      <c r="C36" s="245">
        <v>2720940</v>
      </c>
      <c r="D36" s="245">
        <v>723377</v>
      </c>
      <c r="E36" s="245">
        <v>1410029</v>
      </c>
      <c r="F36" s="247">
        <v>165874</v>
      </c>
      <c r="G36" s="245">
        <v>169320</v>
      </c>
      <c r="H36" s="270">
        <v>252340</v>
      </c>
      <c r="I36" s="270">
        <v>119184</v>
      </c>
      <c r="J36" s="270">
        <v>366345</v>
      </c>
      <c r="K36" s="270"/>
      <c r="L36" s="253">
        <v>175338</v>
      </c>
      <c r="M36" s="268"/>
      <c r="N36" s="268">
        <v>191007</v>
      </c>
      <c r="S36" s="270"/>
      <c r="U36" s="270"/>
      <c r="W36" s="270"/>
      <c r="Y36" s="270"/>
      <c r="AA36" s="270"/>
      <c r="AC36" s="270"/>
      <c r="AE36" s="270"/>
      <c r="AF36" s="254"/>
      <c r="AG36" s="270"/>
      <c r="AI36" s="270"/>
      <c r="AK36" s="270"/>
    </row>
    <row r="37" spans="1:37" hidden="1">
      <c r="A37" s="269">
        <v>31</v>
      </c>
      <c r="B37" s="273">
        <v>2001</v>
      </c>
      <c r="C37" s="270">
        <v>3888051</v>
      </c>
      <c r="D37" s="270">
        <v>819270</v>
      </c>
      <c r="E37" s="270">
        <v>2945886</v>
      </c>
      <c r="F37" s="271">
        <v>168433</v>
      </c>
      <c r="G37" s="270">
        <v>166504</v>
      </c>
      <c r="H37" s="270">
        <v>-212042</v>
      </c>
      <c r="I37" s="270">
        <v>121506</v>
      </c>
      <c r="J37" s="270">
        <v>-143592</v>
      </c>
      <c r="K37" s="270"/>
      <c r="L37" s="268">
        <v>151062</v>
      </c>
      <c r="M37" s="253">
        <v>16560</v>
      </c>
      <c r="N37" s="268">
        <v>-311214</v>
      </c>
      <c r="P37" s="268"/>
      <c r="Q37" s="268"/>
      <c r="S37" s="270"/>
      <c r="U37" s="270"/>
      <c r="W37" s="270"/>
      <c r="Y37" s="270"/>
      <c r="AA37" s="270"/>
      <c r="AC37" s="270"/>
      <c r="AE37" s="270"/>
      <c r="AF37" s="254"/>
      <c r="AG37" s="270"/>
      <c r="AI37" s="270"/>
      <c r="AK37" s="270"/>
    </row>
    <row r="38" spans="1:37" ht="13.5" hidden="1" customHeight="1">
      <c r="A38" s="269">
        <v>32</v>
      </c>
      <c r="B38" s="273">
        <v>2002</v>
      </c>
      <c r="C38" s="270">
        <v>3047803</v>
      </c>
      <c r="D38" s="270">
        <v>833606</v>
      </c>
      <c r="E38" s="270">
        <v>1925873</v>
      </c>
      <c r="F38" s="271">
        <v>174164</v>
      </c>
      <c r="G38" s="270">
        <v>201582</v>
      </c>
      <c r="H38" s="270">
        <v>-87422</v>
      </c>
      <c r="I38" s="270">
        <v>127491</v>
      </c>
      <c r="J38" s="270">
        <v>-3414</v>
      </c>
      <c r="K38" s="270"/>
      <c r="L38" s="268">
        <v>373345</v>
      </c>
      <c r="M38" s="268"/>
      <c r="N38" s="268">
        <v>-376759</v>
      </c>
      <c r="P38" s="268"/>
      <c r="Q38" s="268"/>
      <c r="S38" s="270"/>
      <c r="U38" s="270"/>
      <c r="W38" s="270"/>
      <c r="Y38" s="270"/>
      <c r="AA38" s="270"/>
      <c r="AC38" s="270"/>
      <c r="AE38" s="270"/>
      <c r="AG38" s="270"/>
      <c r="AI38" s="270"/>
      <c r="AK38" s="270"/>
    </row>
    <row r="39" spans="1:37" hidden="1">
      <c r="A39" s="269">
        <v>4</v>
      </c>
      <c r="B39" s="273">
        <v>2003</v>
      </c>
      <c r="C39" s="270">
        <v>3144811</v>
      </c>
      <c r="D39" s="270">
        <v>705289</v>
      </c>
      <c r="E39" s="270">
        <v>1841035</v>
      </c>
      <c r="F39" s="271">
        <v>178896</v>
      </c>
      <c r="G39" s="270">
        <v>176595</v>
      </c>
      <c r="H39" s="270">
        <v>242996</v>
      </c>
      <c r="I39" s="270">
        <v>131592</v>
      </c>
      <c r="J39" s="270">
        <v>314144</v>
      </c>
      <c r="K39" s="270"/>
      <c r="L39" s="268">
        <v>73000</v>
      </c>
      <c r="M39" s="268"/>
      <c r="N39" s="268">
        <v>241144</v>
      </c>
      <c r="P39" s="268"/>
      <c r="Q39" s="268"/>
      <c r="S39" s="270"/>
      <c r="U39" s="270"/>
      <c r="W39" s="270"/>
      <c r="Y39" s="270"/>
      <c r="AA39" s="270"/>
      <c r="AC39" s="270"/>
      <c r="AE39" s="270"/>
      <c r="AG39" s="270"/>
      <c r="AI39" s="270"/>
      <c r="AK39" s="270"/>
    </row>
    <row r="40" spans="1:37" hidden="1">
      <c r="A40" s="269">
        <v>5</v>
      </c>
      <c r="B40" s="273">
        <v>2004</v>
      </c>
      <c r="C40" s="270">
        <v>2738898</v>
      </c>
      <c r="D40" s="270">
        <v>713549</v>
      </c>
      <c r="E40" s="270">
        <v>1366265</v>
      </c>
      <c r="F40" s="271">
        <v>177298</v>
      </c>
      <c r="G40" s="270">
        <v>162531</v>
      </c>
      <c r="H40" s="270">
        <v>319255</v>
      </c>
      <c r="I40" s="270">
        <v>129789</v>
      </c>
      <c r="J40" s="270">
        <v>354413</v>
      </c>
      <c r="K40" s="270"/>
      <c r="L40" s="268">
        <v>233000</v>
      </c>
      <c r="M40" s="268">
        <v>739</v>
      </c>
      <c r="N40" s="268">
        <v>120674</v>
      </c>
      <c r="P40" s="268"/>
      <c r="Q40" s="268"/>
      <c r="S40" s="270"/>
      <c r="U40" s="270"/>
      <c r="W40" s="270"/>
      <c r="Y40" s="270"/>
      <c r="AA40" s="270"/>
      <c r="AC40" s="270"/>
      <c r="AE40" s="270"/>
      <c r="AG40" s="270"/>
      <c r="AI40" s="270"/>
      <c r="AK40" s="270"/>
    </row>
    <row r="41" spans="1:37" hidden="1">
      <c r="A41" s="269">
        <v>6</v>
      </c>
      <c r="B41" s="273">
        <v>2005</v>
      </c>
      <c r="C41" s="270">
        <v>2814224</v>
      </c>
      <c r="D41" s="270">
        <v>711713</v>
      </c>
      <c r="E41" s="270">
        <v>1420735</v>
      </c>
      <c r="F41" s="271">
        <v>186099</v>
      </c>
      <c r="G41" s="270">
        <v>166610</v>
      </c>
      <c r="H41" s="270">
        <v>329067</v>
      </c>
      <c r="I41" s="270">
        <v>-98072</v>
      </c>
      <c r="J41" s="270">
        <v>320734</v>
      </c>
      <c r="K41" s="270"/>
      <c r="L41" s="268">
        <v>271301</v>
      </c>
      <c r="M41" s="268"/>
      <c r="N41" s="268">
        <v>49433</v>
      </c>
      <c r="P41" s="268"/>
      <c r="Q41" s="268"/>
      <c r="S41" s="270"/>
      <c r="U41" s="270"/>
      <c r="W41" s="270"/>
      <c r="Y41" s="270"/>
      <c r="AA41" s="270"/>
      <c r="AC41" s="270"/>
      <c r="AE41" s="270"/>
      <c r="AG41" s="270"/>
      <c r="AI41" s="270"/>
      <c r="AK41" s="270"/>
    </row>
    <row r="42" spans="1:37" hidden="1">
      <c r="A42" s="269">
        <v>7</v>
      </c>
      <c r="B42" s="273">
        <v>2006</v>
      </c>
      <c r="C42" s="270">
        <v>2853659</v>
      </c>
      <c r="D42" s="270">
        <v>773510</v>
      </c>
      <c r="E42" s="270">
        <v>1436548</v>
      </c>
      <c r="F42" s="271">
        <v>181878</v>
      </c>
      <c r="G42" s="270">
        <v>157609</v>
      </c>
      <c r="H42" s="270">
        <v>304114</v>
      </c>
      <c r="I42" s="270">
        <v>-84357</v>
      </c>
      <c r="J42" s="270">
        <v>537237</v>
      </c>
      <c r="K42" s="270"/>
      <c r="L42" s="268">
        <v>261276</v>
      </c>
      <c r="N42" s="268">
        <v>275961</v>
      </c>
      <c r="P42" s="268"/>
      <c r="Q42" s="268"/>
      <c r="S42" s="270"/>
      <c r="U42" s="270"/>
      <c r="W42" s="270"/>
      <c r="Y42" s="270"/>
      <c r="AA42" s="270"/>
      <c r="AC42" s="270"/>
      <c r="AE42" s="270"/>
      <c r="AG42" s="270"/>
      <c r="AI42" s="270"/>
      <c r="AK42" s="270"/>
    </row>
    <row r="43" spans="1:37" hidden="1">
      <c r="A43" s="269">
        <v>8</v>
      </c>
      <c r="B43" s="273">
        <v>2007</v>
      </c>
      <c r="C43" s="270">
        <v>2657891</v>
      </c>
      <c r="D43" s="270">
        <v>818494</v>
      </c>
      <c r="E43" s="270">
        <v>1361837</v>
      </c>
      <c r="F43" s="271">
        <v>176204</v>
      </c>
      <c r="G43" s="270">
        <v>145516</v>
      </c>
      <c r="H43" s="270">
        <v>155840</v>
      </c>
      <c r="I43" s="270">
        <v>133875</v>
      </c>
      <c r="J43" s="270">
        <v>289715</v>
      </c>
      <c r="K43" s="270"/>
      <c r="L43" s="268">
        <v>246300</v>
      </c>
      <c r="M43" s="268"/>
      <c r="N43" s="268">
        <v>43415</v>
      </c>
      <c r="P43" s="268"/>
      <c r="Q43" s="268"/>
      <c r="S43" s="270"/>
      <c r="U43" s="270"/>
      <c r="W43" s="270"/>
      <c r="Y43" s="270"/>
      <c r="AA43" s="270"/>
      <c r="AC43" s="270"/>
      <c r="AE43" s="270"/>
      <c r="AG43" s="270"/>
      <c r="AI43" s="270"/>
      <c r="AK43" s="270"/>
    </row>
    <row r="44" spans="1:37" hidden="1">
      <c r="A44" s="269">
        <v>9</v>
      </c>
      <c r="B44" s="273">
        <v>2008</v>
      </c>
      <c r="C44" s="270">
        <v>2383688</v>
      </c>
      <c r="D44" s="270">
        <v>802849</v>
      </c>
      <c r="E44" s="270">
        <v>1224722</v>
      </c>
      <c r="F44" s="271">
        <v>183466</v>
      </c>
      <c r="G44" s="270">
        <v>142746</v>
      </c>
      <c r="H44" s="270">
        <v>29905</v>
      </c>
      <c r="I44" s="270">
        <v>28438</v>
      </c>
      <c r="J44" s="270">
        <v>195087</v>
      </c>
      <c r="K44" s="270"/>
      <c r="L44" s="268">
        <v>277483</v>
      </c>
      <c r="M44" s="253">
        <v>2950</v>
      </c>
      <c r="N44" s="268">
        <v>-85346</v>
      </c>
      <c r="P44" s="268"/>
      <c r="Q44" s="268"/>
      <c r="S44" s="270"/>
      <c r="U44" s="270"/>
      <c r="W44" s="270"/>
      <c r="Y44" s="270"/>
      <c r="AA44" s="270"/>
      <c r="AC44" s="270"/>
      <c r="AE44" s="270"/>
      <c r="AG44" s="270"/>
      <c r="AI44" s="270"/>
      <c r="AK44" s="270"/>
    </row>
    <row r="45" spans="1:37" hidden="1">
      <c r="A45" s="269">
        <v>10</v>
      </c>
      <c r="B45" s="273">
        <v>2009</v>
      </c>
      <c r="C45" s="270">
        <v>2234695</v>
      </c>
      <c r="D45" s="270">
        <v>871705</v>
      </c>
      <c r="E45" s="270">
        <v>1265997</v>
      </c>
      <c r="F45" s="271">
        <v>180788</v>
      </c>
      <c r="G45" s="270">
        <v>151508</v>
      </c>
      <c r="H45" s="270">
        <v>-235303</v>
      </c>
      <c r="I45" s="270">
        <v>166189</v>
      </c>
      <c r="J45" s="270">
        <v>-69114</v>
      </c>
      <c r="K45" s="270"/>
      <c r="L45" s="268">
        <v>219360</v>
      </c>
      <c r="M45" s="268"/>
      <c r="N45" s="268">
        <v>-288474</v>
      </c>
      <c r="P45" s="268"/>
      <c r="Q45" s="268"/>
      <c r="S45" s="270"/>
      <c r="U45" s="270"/>
      <c r="W45" s="270"/>
      <c r="Y45" s="270"/>
      <c r="AA45" s="270"/>
      <c r="AC45" s="270"/>
      <c r="AE45" s="270"/>
      <c r="AG45" s="270"/>
      <c r="AI45" s="270"/>
      <c r="AK45" s="270"/>
    </row>
    <row r="46" spans="1:37" hidden="1">
      <c r="A46" s="269">
        <v>11</v>
      </c>
      <c r="B46" s="277">
        <v>2010</v>
      </c>
      <c r="C46" s="270">
        <v>2385607</v>
      </c>
      <c r="D46" s="270">
        <v>883540</v>
      </c>
      <c r="E46" s="270">
        <v>1393796</v>
      </c>
      <c r="F46" s="271">
        <v>184989</v>
      </c>
      <c r="G46" s="270">
        <v>176928</v>
      </c>
      <c r="H46" s="270">
        <v>-253646</v>
      </c>
      <c r="I46" s="270">
        <v>120913</v>
      </c>
      <c r="J46" s="270">
        <v>-132733</v>
      </c>
      <c r="K46" s="270"/>
      <c r="L46" s="268">
        <v>244673</v>
      </c>
      <c r="M46" s="268"/>
      <c r="N46" s="268">
        <v>-377406</v>
      </c>
      <c r="P46" s="268"/>
      <c r="Q46" s="268"/>
      <c r="S46" s="270"/>
      <c r="U46" s="270"/>
      <c r="W46" s="270"/>
      <c r="Y46" s="270"/>
      <c r="AA46" s="270"/>
      <c r="AC46" s="270"/>
      <c r="AE46" s="270"/>
      <c r="AG46" s="270"/>
      <c r="AI46" s="270"/>
      <c r="AK46" s="270"/>
    </row>
    <row r="47" spans="1:37" hidden="1">
      <c r="A47" s="269">
        <v>12</v>
      </c>
      <c r="B47" s="277">
        <v>2011</v>
      </c>
      <c r="C47" s="270">
        <v>2619038</v>
      </c>
      <c r="D47" s="270">
        <v>934466</v>
      </c>
      <c r="E47" s="270">
        <v>1283304</v>
      </c>
      <c r="F47" s="271">
        <v>201106</v>
      </c>
      <c r="G47" s="270">
        <v>182860</v>
      </c>
      <c r="H47" s="270">
        <v>17302</v>
      </c>
      <c r="I47" s="270">
        <v>155354</v>
      </c>
      <c r="J47" s="270">
        <v>169132</v>
      </c>
      <c r="K47" s="270"/>
      <c r="L47" s="268">
        <v>162163</v>
      </c>
      <c r="M47" s="268"/>
      <c r="N47" s="268">
        <v>6969</v>
      </c>
      <c r="P47" s="268"/>
      <c r="Q47" s="268"/>
      <c r="S47" s="270"/>
      <c r="U47" s="270"/>
      <c r="W47" s="270"/>
      <c r="Y47" s="270"/>
      <c r="AA47" s="270"/>
      <c r="AC47" s="270"/>
      <c r="AE47" s="270"/>
      <c r="AG47" s="270"/>
      <c r="AI47" s="270"/>
      <c r="AK47" s="270"/>
    </row>
    <row r="48" spans="1:37" hidden="1">
      <c r="A48" s="269">
        <v>13</v>
      </c>
      <c r="B48" s="277">
        <v>2012</v>
      </c>
      <c r="C48" s="270">
        <v>2631334</v>
      </c>
      <c r="D48" s="270">
        <v>962711</v>
      </c>
      <c r="E48" s="270">
        <v>1260404</v>
      </c>
      <c r="F48" s="271">
        <v>199286</v>
      </c>
      <c r="G48" s="270">
        <v>169748</v>
      </c>
      <c r="H48" s="270">
        <v>39185</v>
      </c>
      <c r="I48" s="270">
        <v>153534</v>
      </c>
      <c r="J48" s="270">
        <v>174395</v>
      </c>
      <c r="K48" s="270"/>
      <c r="L48" s="268">
        <v>193000</v>
      </c>
      <c r="M48" s="268">
        <v>1182</v>
      </c>
      <c r="N48" s="268">
        <v>-19787</v>
      </c>
      <c r="P48" s="268"/>
      <c r="Q48" s="268"/>
      <c r="S48" s="270"/>
      <c r="U48" s="270"/>
      <c r="W48" s="270"/>
      <c r="Y48" s="270"/>
      <c r="AA48" s="270"/>
      <c r="AC48" s="270"/>
      <c r="AE48" s="270"/>
      <c r="AG48" s="270"/>
      <c r="AI48" s="270"/>
      <c r="AK48" s="270"/>
    </row>
    <row r="49" spans="1:37" hidden="1">
      <c r="A49" s="269">
        <v>14</v>
      </c>
      <c r="B49" s="277">
        <v>2013</v>
      </c>
      <c r="C49" s="270">
        <v>2647095</v>
      </c>
      <c r="D49" s="270">
        <v>1011463</v>
      </c>
      <c r="E49" s="270">
        <v>1260527</v>
      </c>
      <c r="F49" s="271">
        <v>218103</v>
      </c>
      <c r="G49" s="270">
        <v>207798</v>
      </c>
      <c r="H49" s="270">
        <v>-50796</v>
      </c>
      <c r="I49" s="270">
        <v>164704</v>
      </c>
      <c r="J49" s="270">
        <v>110384</v>
      </c>
      <c r="K49" s="270"/>
      <c r="L49" s="268">
        <v>122799</v>
      </c>
      <c r="M49" s="268">
        <v>58823</v>
      </c>
      <c r="N49" s="268">
        <v>-71238</v>
      </c>
      <c r="P49" s="268"/>
      <c r="Q49" s="268"/>
      <c r="S49" s="270"/>
      <c r="U49" s="270"/>
      <c r="W49" s="270"/>
      <c r="Y49" s="270"/>
      <c r="AA49" s="270"/>
      <c r="AC49" s="270"/>
      <c r="AE49" s="270"/>
      <c r="AG49" s="270"/>
      <c r="AI49" s="270"/>
      <c r="AK49" s="270"/>
    </row>
    <row r="50" spans="1:37" ht="2.25" customHeight="1">
      <c r="A50" s="269">
        <v>15</v>
      </c>
      <c r="B50" s="277">
        <v>2014</v>
      </c>
      <c r="C50" s="271">
        <v>2810919.3256600006</v>
      </c>
      <c r="D50" s="271">
        <v>1017269.02247</v>
      </c>
      <c r="E50" s="271">
        <v>896127.28251999989</v>
      </c>
      <c r="F50" s="271">
        <v>227267.03862000001</v>
      </c>
      <c r="G50" s="271">
        <v>196360.94574</v>
      </c>
      <c r="H50" s="271">
        <v>473895.03631000069</v>
      </c>
      <c r="I50" s="271">
        <v>-187952.17230999962</v>
      </c>
      <c r="J50" s="271">
        <v>596116.34924383648</v>
      </c>
      <c r="K50" s="271"/>
      <c r="L50" s="278">
        <v>462575</v>
      </c>
      <c r="M50" s="278">
        <v>52546.864000000001</v>
      </c>
      <c r="N50" s="268">
        <v>80994.485243836476</v>
      </c>
      <c r="P50" s="268"/>
      <c r="Q50" s="268"/>
      <c r="S50" s="270"/>
      <c r="U50" s="270"/>
      <c r="W50" s="270"/>
      <c r="Y50" s="270"/>
      <c r="AA50" s="270"/>
      <c r="AC50" s="270"/>
      <c r="AE50" s="270"/>
      <c r="AG50" s="270"/>
      <c r="AI50" s="270"/>
      <c r="AK50" s="270"/>
    </row>
    <row r="51" spans="1:37" hidden="1">
      <c r="B51" s="277"/>
      <c r="C51" s="271"/>
      <c r="D51" s="271"/>
      <c r="E51" s="271"/>
      <c r="F51" s="271"/>
      <c r="G51" s="271"/>
      <c r="H51" s="271"/>
      <c r="I51" s="271"/>
      <c r="J51" s="271"/>
      <c r="K51" s="271"/>
      <c r="L51" s="278"/>
      <c r="M51" s="278"/>
      <c r="N51" s="279"/>
      <c r="P51" s="268"/>
      <c r="Q51" s="268"/>
      <c r="S51" s="270"/>
      <c r="U51" s="270"/>
      <c r="W51" s="270"/>
      <c r="Y51" s="270"/>
      <c r="AA51" s="270"/>
      <c r="AC51" s="270"/>
      <c r="AE51" s="270"/>
      <c r="AG51" s="270"/>
      <c r="AI51" s="270"/>
      <c r="AK51" s="270"/>
    </row>
    <row r="52" spans="1:37" hidden="1">
      <c r="B52" s="277"/>
      <c r="C52" s="271"/>
      <c r="D52" s="271"/>
      <c r="E52" s="271"/>
      <c r="F52" s="271"/>
      <c r="G52" s="271"/>
      <c r="H52" s="271"/>
      <c r="I52" s="271"/>
      <c r="J52" s="271"/>
      <c r="K52" s="271"/>
      <c r="L52" s="278"/>
      <c r="M52" s="278"/>
      <c r="N52" s="279"/>
      <c r="P52" s="268"/>
      <c r="Q52" s="268"/>
      <c r="S52" s="270"/>
      <c r="U52" s="270"/>
      <c r="W52" s="270"/>
      <c r="Y52" s="270"/>
      <c r="AA52" s="270"/>
      <c r="AC52" s="270"/>
      <c r="AE52" s="270"/>
      <c r="AG52" s="270"/>
      <c r="AI52" s="270"/>
      <c r="AK52" s="270"/>
    </row>
    <row r="53" spans="1:37">
      <c r="A53" s="269">
        <v>1</v>
      </c>
      <c r="B53" s="277">
        <v>2014</v>
      </c>
      <c r="C53" s="271">
        <v>85655930.325660005</v>
      </c>
      <c r="D53" s="271">
        <v>18971574.022470001</v>
      </c>
      <c r="E53" s="271">
        <v>52260235.282519996</v>
      </c>
      <c r="F53" s="271">
        <v>5723414.0386199998</v>
      </c>
      <c r="G53" s="271">
        <v>7536543.9457400003</v>
      </c>
      <c r="H53" s="271">
        <v>1164163.0363100008</v>
      </c>
      <c r="I53" s="271">
        <v>4789336.8276900006</v>
      </c>
      <c r="J53" s="271">
        <v>5952750.8640000019</v>
      </c>
      <c r="K53" s="271"/>
      <c r="L53" s="271">
        <v>5521807</v>
      </c>
      <c r="M53" s="271">
        <v>157943.864</v>
      </c>
      <c r="N53" s="279">
        <v>273000.00000000192</v>
      </c>
      <c r="P53" s="268"/>
      <c r="Q53" s="268"/>
      <c r="S53" s="270"/>
      <c r="U53" s="270"/>
      <c r="W53" s="270"/>
      <c r="Y53" s="270"/>
      <c r="AA53" s="270"/>
      <c r="AC53" s="270"/>
      <c r="AE53" s="270"/>
      <c r="AG53" s="270"/>
      <c r="AI53" s="270"/>
      <c r="AK53" s="270"/>
    </row>
    <row r="54" spans="1:37">
      <c r="A54" s="269">
        <v>2</v>
      </c>
      <c r="B54" s="277"/>
      <c r="C54" s="271"/>
      <c r="D54" s="271"/>
      <c r="E54" s="271"/>
      <c r="F54" s="271"/>
      <c r="G54" s="271"/>
      <c r="H54" s="271"/>
      <c r="I54" s="271"/>
      <c r="J54" s="271"/>
      <c r="K54" s="271"/>
      <c r="L54" s="278"/>
      <c r="M54" s="278"/>
      <c r="N54" s="279"/>
      <c r="P54" s="268"/>
      <c r="S54" s="270"/>
      <c r="U54" s="270"/>
      <c r="W54" s="270"/>
      <c r="Y54" s="270"/>
      <c r="AA54" s="270"/>
      <c r="AC54" s="270"/>
      <c r="AE54" s="270"/>
      <c r="AG54" s="270"/>
      <c r="AI54" s="270"/>
      <c r="AK54" s="270"/>
    </row>
    <row r="55" spans="1:37">
      <c r="A55" s="269">
        <v>3</v>
      </c>
      <c r="B55" s="267" t="s">
        <v>333</v>
      </c>
      <c r="C55" s="271"/>
      <c r="D55" s="271"/>
      <c r="E55" s="271"/>
      <c r="F55" s="271"/>
      <c r="G55" s="271"/>
      <c r="H55" s="271"/>
      <c r="I55" s="271"/>
      <c r="J55" s="271"/>
      <c r="K55" s="271"/>
      <c r="L55" s="278"/>
      <c r="M55" s="278"/>
      <c r="N55" s="279"/>
      <c r="P55" s="268"/>
      <c r="S55" s="270"/>
      <c r="U55" s="270"/>
      <c r="W55" s="270"/>
      <c r="Y55" s="270"/>
      <c r="AA55" s="270"/>
      <c r="AC55" s="270"/>
      <c r="AE55" s="270"/>
      <c r="AG55" s="270"/>
      <c r="AI55" s="270"/>
      <c r="AK55" s="270"/>
    </row>
    <row r="56" spans="1:37">
      <c r="A56" s="269">
        <v>4</v>
      </c>
      <c r="B56" s="273">
        <v>2015</v>
      </c>
      <c r="C56" s="271">
        <v>2588858.2325999998</v>
      </c>
      <c r="D56" s="271">
        <v>1009924.4493000001</v>
      </c>
      <c r="E56" s="271">
        <v>841782.42643000011</v>
      </c>
      <c r="F56" s="271">
        <v>224188.22295</v>
      </c>
      <c r="G56" s="271">
        <v>185925.42388000002</v>
      </c>
      <c r="H56" s="271">
        <v>327037.71003999969</v>
      </c>
      <c r="I56" s="271">
        <v>192292.23895</v>
      </c>
      <c r="J56" s="271">
        <v>585597.94898999971</v>
      </c>
      <c r="K56" s="271"/>
      <c r="L56" s="278">
        <v>402532</v>
      </c>
      <c r="M56" s="278">
        <v>61066</v>
      </c>
      <c r="N56" s="279">
        <v>121999.94898999971</v>
      </c>
      <c r="S56" s="270"/>
      <c r="U56" s="270"/>
      <c r="W56" s="270"/>
      <c r="Y56" s="270"/>
      <c r="AA56" s="270"/>
      <c r="AC56" s="270"/>
      <c r="AE56" s="270"/>
      <c r="AG56" s="270"/>
      <c r="AI56" s="270"/>
      <c r="AK56" s="270"/>
    </row>
    <row r="57" spans="1:37">
      <c r="A57" s="269">
        <v>5</v>
      </c>
      <c r="B57" s="277">
        <v>2016</v>
      </c>
      <c r="C57" s="271">
        <v>2600726</v>
      </c>
      <c r="D57" s="271">
        <v>1140373.6007900001</v>
      </c>
      <c r="E57" s="271">
        <v>864697.80755000003</v>
      </c>
      <c r="F57" s="271">
        <v>222551.42</v>
      </c>
      <c r="G57" s="271">
        <v>185925.42388000002</v>
      </c>
      <c r="H57" s="271">
        <v>187177.74777999986</v>
      </c>
      <c r="I57" s="271">
        <v>690354.06722000008</v>
      </c>
      <c r="J57" s="271">
        <v>877531.81499999994</v>
      </c>
      <c r="K57" s="271"/>
      <c r="L57" s="278">
        <v>1053348</v>
      </c>
      <c r="M57" s="278">
        <v>60183.815000000002</v>
      </c>
      <c r="N57" s="279">
        <v>-236000.00000000006</v>
      </c>
      <c r="O57" s="280"/>
      <c r="Q57" s="281"/>
      <c r="S57" s="270"/>
      <c r="U57" s="270"/>
      <c r="W57" s="270"/>
      <c r="Y57" s="270"/>
      <c r="Z57" s="245">
        <v>770.99658429477859</v>
      </c>
      <c r="AA57" s="270"/>
      <c r="AC57" s="270"/>
      <c r="AE57" s="270"/>
      <c r="AG57" s="270"/>
      <c r="AI57" s="270"/>
      <c r="AK57" s="270"/>
    </row>
    <row r="58" spans="1:37">
      <c r="A58" s="269">
        <v>6</v>
      </c>
      <c r="B58" s="277">
        <v>2017</v>
      </c>
      <c r="C58" s="271">
        <v>2721171.2600899995</v>
      </c>
      <c r="D58" s="271">
        <v>1171666.3228799999</v>
      </c>
      <c r="E58" s="271">
        <v>947790.09164999984</v>
      </c>
      <c r="F58" s="271">
        <v>224046.84852</v>
      </c>
      <c r="G58" s="271">
        <v>121677.76638000002</v>
      </c>
      <c r="H58" s="271">
        <v>255990.2306599998</v>
      </c>
      <c r="I58" s="271">
        <v>190578.78852</v>
      </c>
      <c r="J58" s="271">
        <v>794123.01917999983</v>
      </c>
      <c r="K58" s="271"/>
      <c r="L58" s="278">
        <v>796641</v>
      </c>
      <c r="M58" s="279">
        <v>50768.851000000002</v>
      </c>
      <c r="N58" s="279">
        <v>-53286.831820000174</v>
      </c>
      <c r="O58" s="280"/>
      <c r="S58" s="270"/>
      <c r="U58" s="270"/>
      <c r="W58" s="270"/>
      <c r="Y58" s="270"/>
      <c r="AA58" s="270"/>
      <c r="AC58" s="270"/>
      <c r="AE58" s="270"/>
      <c r="AG58" s="270"/>
      <c r="AI58" s="270"/>
      <c r="AK58" s="270"/>
    </row>
    <row r="59" spans="1:37">
      <c r="A59" s="269">
        <v>7</v>
      </c>
      <c r="B59" s="273">
        <v>2018</v>
      </c>
      <c r="C59" s="271">
        <v>2862774</v>
      </c>
      <c r="D59" s="270">
        <v>1188441</v>
      </c>
      <c r="E59" s="270">
        <v>966795</v>
      </c>
      <c r="F59" s="271">
        <v>221031</v>
      </c>
      <c r="G59" s="271">
        <v>73686</v>
      </c>
      <c r="H59" s="271">
        <v>412821</v>
      </c>
      <c r="I59" s="271">
        <v>221031</v>
      </c>
      <c r="J59" s="271">
        <v>295852.80800000002</v>
      </c>
      <c r="K59" s="271"/>
      <c r="L59" s="278">
        <v>388138</v>
      </c>
      <c r="M59" s="278">
        <v>0</v>
      </c>
      <c r="N59" s="279">
        <v>-92285.191999999981</v>
      </c>
      <c r="O59" s="280"/>
      <c r="Q59" s="282"/>
      <c r="S59" s="270"/>
      <c r="U59" s="270"/>
      <c r="W59" s="270"/>
      <c r="Y59" s="270"/>
      <c r="AA59" s="270"/>
      <c r="AC59" s="270"/>
      <c r="AE59" s="270"/>
      <c r="AG59" s="270"/>
      <c r="AI59" s="270"/>
      <c r="AK59" s="270"/>
    </row>
    <row r="60" spans="1:37">
      <c r="A60" s="269">
        <v>8</v>
      </c>
      <c r="B60" s="273">
        <v>2019</v>
      </c>
      <c r="C60" s="271">
        <v>2817848.1906699999</v>
      </c>
      <c r="D60" s="270">
        <v>1129514.4084400001</v>
      </c>
      <c r="E60" s="270">
        <v>1139849.6848199998</v>
      </c>
      <c r="F60" s="271">
        <v>225210.77424999999</v>
      </c>
      <c r="G60" s="271">
        <v>65484.273810000013</v>
      </c>
      <c r="H60" s="271">
        <v>257789.0493499999</v>
      </c>
      <c r="I60" s="271">
        <v>222644.77420000001</v>
      </c>
      <c r="J60" s="271">
        <v>810433.82354999986</v>
      </c>
      <c r="K60" s="271">
        <v>141088</v>
      </c>
      <c r="L60" s="278">
        <v>422705.70699999999</v>
      </c>
      <c r="M60" s="278">
        <v>56573</v>
      </c>
      <c r="N60" s="279">
        <v>190067.27170000001</v>
      </c>
      <c r="O60" s="280"/>
      <c r="Q60" s="282"/>
      <c r="S60" s="270"/>
      <c r="U60" s="270"/>
      <c r="W60" s="270"/>
      <c r="Y60" s="270"/>
      <c r="AA60" s="270"/>
      <c r="AC60" s="270"/>
      <c r="AE60" s="270"/>
      <c r="AG60" s="270"/>
      <c r="AI60" s="270"/>
      <c r="AK60" s="270"/>
    </row>
    <row r="61" spans="1:37">
      <c r="A61" s="269">
        <v>9</v>
      </c>
      <c r="B61" s="273">
        <v>2020</v>
      </c>
      <c r="C61" s="271">
        <v>2814257.0160700004</v>
      </c>
      <c r="D61" s="270">
        <v>1117823.1373400004</v>
      </c>
      <c r="E61" s="270">
        <v>683250.50650000002</v>
      </c>
      <c r="F61" s="271">
        <v>478985.49648000003</v>
      </c>
      <c r="G61" s="271">
        <v>279085.11825</v>
      </c>
      <c r="H61" s="271">
        <v>255112.75749999989</v>
      </c>
      <c r="I61" s="271">
        <v>447520.24250000011</v>
      </c>
      <c r="J61" s="271">
        <v>702633</v>
      </c>
      <c r="K61" s="271">
        <v>274610</v>
      </c>
      <c r="L61" s="278">
        <v>171410</v>
      </c>
      <c r="M61" s="278">
        <v>24129</v>
      </c>
      <c r="N61" s="279">
        <v>232483.72829999999</v>
      </c>
      <c r="O61" s="280"/>
      <c r="Q61" s="282"/>
      <c r="S61" s="270"/>
      <c r="U61" s="270"/>
      <c r="W61" s="270"/>
      <c r="Y61" s="270"/>
      <c r="AA61" s="270"/>
      <c r="AC61" s="270"/>
      <c r="AE61" s="270"/>
      <c r="AG61" s="270"/>
      <c r="AI61" s="270"/>
      <c r="AK61" s="270"/>
    </row>
    <row r="62" spans="1:37">
      <c r="A62" s="269">
        <v>10</v>
      </c>
      <c r="B62" s="283" t="s">
        <v>543</v>
      </c>
      <c r="C62" s="271"/>
      <c r="D62" s="270"/>
      <c r="E62" s="270"/>
      <c r="F62" s="271"/>
      <c r="G62" s="271"/>
      <c r="H62" s="271"/>
      <c r="I62" s="271"/>
      <c r="J62" s="271"/>
      <c r="K62" s="271"/>
      <c r="L62" s="284"/>
      <c r="M62" s="278"/>
      <c r="N62" s="285"/>
      <c r="P62" s="281"/>
      <c r="Q62" s="282"/>
      <c r="S62" s="270"/>
      <c r="U62" s="270"/>
      <c r="W62" s="270"/>
      <c r="Y62" s="270"/>
      <c r="AA62" s="270"/>
      <c r="AC62" s="270"/>
      <c r="AE62" s="270"/>
      <c r="AG62" s="270"/>
      <c r="AI62" s="270"/>
      <c r="AK62" s="270"/>
    </row>
    <row r="63" spans="1:37">
      <c r="A63" s="269">
        <v>11</v>
      </c>
      <c r="B63" s="273" t="s">
        <v>544</v>
      </c>
      <c r="C63" s="271"/>
      <c r="D63" s="270"/>
      <c r="E63" s="270"/>
      <c r="F63" s="271"/>
      <c r="G63" s="271"/>
      <c r="H63" s="271"/>
      <c r="I63" s="271"/>
      <c r="J63" s="271"/>
      <c r="K63" s="271"/>
      <c r="L63" s="278"/>
      <c r="M63" s="278"/>
      <c r="N63" s="279"/>
      <c r="P63" s="281"/>
      <c r="Q63" s="282"/>
      <c r="S63" s="270"/>
      <c r="U63" s="270"/>
      <c r="W63" s="270"/>
      <c r="Y63" s="270"/>
      <c r="AA63" s="270"/>
      <c r="AC63" s="270"/>
      <c r="AE63" s="270"/>
      <c r="AG63" s="270"/>
      <c r="AI63" s="270"/>
      <c r="AK63" s="270"/>
    </row>
    <row r="64" spans="1:37" ht="13.5" customHeight="1">
      <c r="A64" s="269">
        <v>12</v>
      </c>
      <c r="B64" s="273">
        <v>2021</v>
      </c>
      <c r="C64" s="271">
        <v>2815949.7355200006</v>
      </c>
      <c r="D64" s="271">
        <v>1200396.5144499999</v>
      </c>
      <c r="E64" s="271">
        <v>723201.20749000006</v>
      </c>
      <c r="F64" s="271">
        <v>491000.00003999996</v>
      </c>
      <c r="G64" s="271">
        <v>245677.34401999996</v>
      </c>
      <c r="H64" s="271">
        <v>155674.66952000069</v>
      </c>
      <c r="I64" s="271">
        <v>422686.33047999971</v>
      </c>
      <c r="J64" s="271">
        <v>578361.00000000047</v>
      </c>
      <c r="K64" s="271">
        <v>23570</v>
      </c>
      <c r="L64" s="278">
        <v>519000</v>
      </c>
      <c r="M64" s="278">
        <v>22112</v>
      </c>
      <c r="N64" s="279">
        <v>13679.000000000466</v>
      </c>
      <c r="P64" s="281"/>
      <c r="Q64" s="282"/>
      <c r="S64" s="270"/>
      <c r="U64" s="270"/>
      <c r="W64" s="270"/>
      <c r="Y64" s="270"/>
      <c r="AA64" s="270"/>
      <c r="AC64" s="270"/>
      <c r="AE64" s="270"/>
      <c r="AG64" s="270"/>
      <c r="AI64" s="270"/>
      <c r="AK64" s="270"/>
    </row>
    <row r="65" spans="1:37">
      <c r="A65" s="269">
        <v>13</v>
      </c>
      <c r="B65" s="283" t="s">
        <v>545</v>
      </c>
      <c r="C65" s="270"/>
      <c r="D65" s="270"/>
      <c r="E65" s="270"/>
      <c r="F65" s="271"/>
      <c r="G65" s="270"/>
      <c r="H65" s="270"/>
      <c r="I65" s="271"/>
      <c r="J65" s="271"/>
      <c r="K65" s="271"/>
      <c r="L65" s="278"/>
      <c r="M65" s="278"/>
      <c r="N65" s="279"/>
      <c r="P65" s="281"/>
      <c r="Q65" s="282"/>
      <c r="S65" s="270"/>
      <c r="U65" s="270"/>
      <c r="W65" s="270"/>
      <c r="Y65" s="270"/>
      <c r="AA65" s="270"/>
      <c r="AC65" s="270"/>
      <c r="AE65" s="270"/>
      <c r="AG65" s="270"/>
      <c r="AI65" s="270"/>
      <c r="AK65" s="270"/>
    </row>
    <row r="66" spans="1:37">
      <c r="A66" s="269">
        <v>14</v>
      </c>
      <c r="B66" s="273" t="s">
        <v>544</v>
      </c>
      <c r="C66" s="270"/>
      <c r="D66" s="270"/>
      <c r="E66" s="270"/>
      <c r="F66" s="271"/>
      <c r="G66" s="270"/>
      <c r="H66" s="270"/>
      <c r="I66" s="271"/>
      <c r="J66" s="271"/>
      <c r="K66" s="271"/>
      <c r="L66" s="278"/>
      <c r="M66" s="278"/>
      <c r="N66" s="279"/>
      <c r="P66" s="281"/>
      <c r="Q66" s="282"/>
      <c r="S66" s="270"/>
      <c r="U66" s="270"/>
      <c r="W66" s="270"/>
      <c r="Y66" s="270"/>
      <c r="AA66" s="270"/>
      <c r="AC66" s="270"/>
      <c r="AE66" s="270"/>
      <c r="AG66" s="270"/>
      <c r="AI66" s="270"/>
      <c r="AK66" s="270"/>
    </row>
    <row r="67" spans="1:37">
      <c r="A67" s="269">
        <v>15</v>
      </c>
      <c r="B67" s="273">
        <v>2022</v>
      </c>
      <c r="C67" s="270">
        <v>2792560.5650605187</v>
      </c>
      <c r="D67" s="271">
        <v>1229762.9553799997</v>
      </c>
      <c r="E67" s="271">
        <v>687416.07997999992</v>
      </c>
      <c r="F67" s="271">
        <v>498602.79417202057</v>
      </c>
      <c r="G67" s="270">
        <v>240377.83635695235</v>
      </c>
      <c r="H67" s="270">
        <v>136400.89917154613</v>
      </c>
      <c r="I67" s="286">
        <v>459235.12215937983</v>
      </c>
      <c r="J67" s="271">
        <v>588636.02133092599</v>
      </c>
      <c r="K67" s="271">
        <v>16005.150000000007</v>
      </c>
      <c r="L67" s="278">
        <v>495000</v>
      </c>
      <c r="M67" s="278">
        <v>16059.879000000001</v>
      </c>
      <c r="N67" s="287">
        <v>61570.992330925961</v>
      </c>
      <c r="O67" s="288"/>
      <c r="S67" s="270"/>
      <c r="U67" s="270"/>
      <c r="W67" s="270"/>
      <c r="Y67" s="270"/>
      <c r="AA67" s="270"/>
      <c r="AC67" s="270"/>
      <c r="AE67" s="270"/>
      <c r="AG67" s="270"/>
      <c r="AI67" s="270"/>
      <c r="AK67" s="270"/>
    </row>
    <row r="68" spans="1:37">
      <c r="A68" s="269">
        <v>16</v>
      </c>
      <c r="B68" s="273">
        <v>2023</v>
      </c>
      <c r="C68" s="270">
        <v>2756984.0391388019</v>
      </c>
      <c r="D68" s="271">
        <v>1224490.9160799996</v>
      </c>
      <c r="E68" s="271">
        <v>707257.1039300001</v>
      </c>
      <c r="F68" s="271">
        <v>499836.9197733613</v>
      </c>
      <c r="G68" s="270">
        <v>227911.81223432207</v>
      </c>
      <c r="H68" s="270">
        <v>97487.287121118745</v>
      </c>
      <c r="I68" s="289">
        <v>454430.84011127299</v>
      </c>
      <c r="J68" s="270">
        <v>558918.12723239174</v>
      </c>
      <c r="K68" s="270">
        <v>21111.400000000005</v>
      </c>
      <c r="L68" s="282">
        <v>525000</v>
      </c>
      <c r="M68" s="282">
        <v>12762.084999999999</v>
      </c>
      <c r="N68" s="287">
        <v>44.64223239171406</v>
      </c>
      <c r="O68" s="288"/>
      <c r="Q68" s="282"/>
      <c r="S68" s="270"/>
      <c r="U68" s="270"/>
      <c r="W68" s="270"/>
      <c r="Y68" s="270"/>
      <c r="AA68" s="270"/>
      <c r="AC68" s="270"/>
      <c r="AE68" s="270"/>
      <c r="AG68" s="270"/>
      <c r="AI68" s="270"/>
      <c r="AK68" s="270"/>
    </row>
    <row r="69" spans="1:37">
      <c r="A69" s="269">
        <v>17</v>
      </c>
      <c r="B69" s="283" t="s">
        <v>546</v>
      </c>
      <c r="C69" s="270"/>
      <c r="D69" s="270"/>
      <c r="E69" s="270"/>
      <c r="F69" s="271"/>
      <c r="G69" s="270"/>
      <c r="H69" s="270"/>
      <c r="I69" s="270"/>
      <c r="J69" s="270"/>
      <c r="K69" s="270"/>
      <c r="L69" s="282"/>
      <c r="M69" s="282"/>
      <c r="N69" s="268"/>
      <c r="P69" s="282"/>
      <c r="Q69" s="282"/>
      <c r="S69" s="270"/>
      <c r="U69" s="270"/>
      <c r="W69" s="270"/>
      <c r="Y69" s="270"/>
      <c r="AA69" s="270"/>
      <c r="AC69" s="270"/>
      <c r="AE69" s="270"/>
      <c r="AG69" s="270"/>
      <c r="AI69" s="270"/>
      <c r="AK69" s="270"/>
    </row>
    <row r="70" spans="1:37">
      <c r="A70" s="269">
        <v>18</v>
      </c>
      <c r="B70" s="273" t="s">
        <v>544</v>
      </c>
      <c r="C70" s="270"/>
      <c r="D70" s="270"/>
      <c r="E70" s="270"/>
      <c r="F70" s="271"/>
      <c r="G70" s="270"/>
      <c r="H70" s="270"/>
      <c r="I70" s="270"/>
      <c r="J70" s="270"/>
      <c r="K70" s="270"/>
      <c r="L70" s="282"/>
      <c r="M70" s="282"/>
      <c r="N70" s="268"/>
      <c r="P70" s="282"/>
      <c r="Q70" s="282"/>
      <c r="S70" s="270"/>
      <c r="U70" s="270"/>
      <c r="W70" s="270"/>
      <c r="Y70" s="270"/>
      <c r="AA70" s="270"/>
      <c r="AC70" s="270"/>
      <c r="AE70" s="270"/>
      <c r="AG70" s="270"/>
      <c r="AI70" s="270"/>
      <c r="AK70" s="270"/>
    </row>
    <row r="71" spans="1:37">
      <c r="A71" s="269">
        <v>19</v>
      </c>
      <c r="B71" s="273">
        <v>2024</v>
      </c>
      <c r="C71" s="270">
        <v>2756984.0391388019</v>
      </c>
      <c r="D71" s="270">
        <v>1224490.9160799996</v>
      </c>
      <c r="E71" s="270">
        <v>694204.56495000003</v>
      </c>
      <c r="F71" s="271">
        <v>499836.9197733613</v>
      </c>
      <c r="G71" s="270">
        <v>273385.03220516077</v>
      </c>
      <c r="H71" s="270">
        <v>65066.606130280124</v>
      </c>
      <c r="I71" s="270">
        <v>494430.84011127299</v>
      </c>
      <c r="J71" s="270">
        <v>559497.44624155317</v>
      </c>
      <c r="K71" s="282">
        <v>116218.45</v>
      </c>
      <c r="L71" s="282">
        <v>300997.93400000001</v>
      </c>
      <c r="M71" s="282">
        <v>7710.37</v>
      </c>
      <c r="N71" s="268">
        <v>134570.69224155316</v>
      </c>
      <c r="P71" s="282"/>
      <c r="Q71" s="282"/>
      <c r="S71" s="270"/>
      <c r="U71" s="270"/>
      <c r="W71" s="270"/>
      <c r="Y71" s="270"/>
      <c r="AA71" s="270"/>
      <c r="AC71" s="270"/>
      <c r="AE71" s="270"/>
      <c r="AG71" s="270"/>
      <c r="AI71" s="270"/>
      <c r="AK71" s="270"/>
    </row>
    <row r="72" spans="1:37">
      <c r="A72" s="269">
        <v>20</v>
      </c>
      <c r="B72" s="273">
        <v>2025</v>
      </c>
      <c r="C72" s="270">
        <v>2756984.0391388019</v>
      </c>
      <c r="D72" s="270">
        <v>1224490.9160799996</v>
      </c>
      <c r="E72" s="270">
        <v>694204.56495000003</v>
      </c>
      <c r="F72" s="271">
        <v>499836.9197733613</v>
      </c>
      <c r="G72" s="270">
        <v>200794.14220516072</v>
      </c>
      <c r="H72" s="270">
        <v>137657.49613028017</v>
      </c>
      <c r="I72" s="270">
        <v>494430.84011127299</v>
      </c>
      <c r="J72" s="270">
        <v>632088.33624155319</v>
      </c>
      <c r="K72" s="282">
        <v>386722.85</v>
      </c>
      <c r="L72" s="282">
        <v>97390.043000000005</v>
      </c>
      <c r="M72" s="282">
        <v>13435.752</v>
      </c>
      <c r="N72" s="268">
        <v>134539.69124155329</v>
      </c>
      <c r="P72" s="282"/>
      <c r="Q72" s="282"/>
      <c r="S72" s="270"/>
      <c r="U72" s="270"/>
      <c r="W72" s="270"/>
      <c r="Y72" s="270"/>
      <c r="AA72" s="270"/>
      <c r="AC72" s="270"/>
      <c r="AE72" s="270"/>
      <c r="AG72" s="270"/>
      <c r="AI72" s="270"/>
      <c r="AK72" s="270"/>
    </row>
    <row r="73" spans="1:37">
      <c r="A73" s="269">
        <v>21</v>
      </c>
      <c r="B73" s="273">
        <v>2026</v>
      </c>
      <c r="C73" s="270">
        <v>2756984.0391388019</v>
      </c>
      <c r="D73" s="270">
        <v>1224490.9160799996</v>
      </c>
      <c r="E73" s="270">
        <v>694204.56495000003</v>
      </c>
      <c r="F73" s="271">
        <v>499836.9197733613</v>
      </c>
      <c r="G73" s="270">
        <v>186198.60220516074</v>
      </c>
      <c r="H73" s="270">
        <v>152253.03613028015</v>
      </c>
      <c r="I73" s="270">
        <v>494430.84011127299</v>
      </c>
      <c r="J73" s="270">
        <v>646683.87624155311</v>
      </c>
      <c r="K73" s="282">
        <v>391901.25</v>
      </c>
      <c r="L73" s="282">
        <v>100409.35</v>
      </c>
      <c r="M73" s="282">
        <v>19725.584999999999</v>
      </c>
      <c r="N73" s="268">
        <v>134647.69124155317</v>
      </c>
      <c r="P73" s="282"/>
      <c r="Q73" s="282"/>
      <c r="S73" s="270"/>
      <c r="U73" s="270"/>
      <c r="W73" s="270"/>
      <c r="Y73" s="270"/>
      <c r="AA73" s="270"/>
      <c r="AC73" s="270"/>
      <c r="AE73" s="270"/>
      <c r="AG73" s="270"/>
      <c r="AI73" s="270"/>
      <c r="AK73" s="270"/>
    </row>
    <row r="74" spans="1:37">
      <c r="A74" s="269">
        <v>22</v>
      </c>
      <c r="B74" s="273">
        <v>2027</v>
      </c>
      <c r="C74" s="270">
        <v>2756984.0391388019</v>
      </c>
      <c r="D74" s="270">
        <v>1224490.9160799996</v>
      </c>
      <c r="E74" s="270">
        <v>694204.56495000003</v>
      </c>
      <c r="F74" s="271">
        <v>499836.9197733613</v>
      </c>
      <c r="G74" s="270">
        <v>170875.74420516074</v>
      </c>
      <c r="H74" s="270">
        <v>167575.89413028015</v>
      </c>
      <c r="I74" s="270">
        <v>494430.84011127299</v>
      </c>
      <c r="J74" s="270">
        <v>662006.73424155312</v>
      </c>
      <c r="K74" s="282">
        <v>408116.25</v>
      </c>
      <c r="L74" s="282">
        <v>113237.34600000001</v>
      </c>
      <c r="M74" s="282">
        <v>6084.4470000000001</v>
      </c>
      <c r="N74" s="268">
        <v>134568.69124155305</v>
      </c>
      <c r="P74" s="282"/>
      <c r="Q74" s="282"/>
      <c r="S74" s="270"/>
      <c r="U74" s="270"/>
      <c r="W74" s="270"/>
      <c r="Y74" s="270"/>
      <c r="AA74" s="270"/>
      <c r="AC74" s="270"/>
      <c r="AE74" s="270"/>
      <c r="AG74" s="270"/>
      <c r="AI74" s="270"/>
      <c r="AK74" s="270"/>
    </row>
    <row r="75" spans="1:37">
      <c r="A75" s="269">
        <v>23</v>
      </c>
      <c r="B75" s="273">
        <v>2028</v>
      </c>
      <c r="C75" s="270">
        <v>2756984.0391388019</v>
      </c>
      <c r="D75" s="270">
        <v>1224490.9160799996</v>
      </c>
      <c r="E75" s="270">
        <v>694204.56495000003</v>
      </c>
      <c r="F75" s="271">
        <v>499836.9197733613</v>
      </c>
      <c r="G75" s="270">
        <v>155705.78720516074</v>
      </c>
      <c r="H75" s="270">
        <v>182745.85113028015</v>
      </c>
      <c r="I75" s="270">
        <v>494430.84011127299</v>
      </c>
      <c r="J75" s="270">
        <v>677176.69124155317</v>
      </c>
      <c r="K75" s="282">
        <v>421150</v>
      </c>
      <c r="L75" s="282">
        <v>110305.57799999999</v>
      </c>
      <c r="M75" s="282">
        <v>11126.422</v>
      </c>
      <c r="N75" s="268">
        <v>134594.69124155317</v>
      </c>
      <c r="P75" s="282"/>
      <c r="Q75" s="282"/>
      <c r="S75" s="270"/>
      <c r="U75" s="270"/>
      <c r="W75" s="270"/>
      <c r="Y75" s="270"/>
      <c r="AA75" s="270"/>
      <c r="AC75" s="270"/>
      <c r="AE75" s="270"/>
      <c r="AG75" s="270"/>
      <c r="AI75" s="270"/>
      <c r="AK75" s="270"/>
    </row>
    <row r="76" spans="1:37">
      <c r="A76" s="269">
        <v>24</v>
      </c>
      <c r="B76" s="273">
        <v>2029</v>
      </c>
      <c r="C76" s="270">
        <v>2756984.0391388019</v>
      </c>
      <c r="D76" s="270">
        <v>1224490.9160799996</v>
      </c>
      <c r="E76" s="270">
        <v>694204.56495000003</v>
      </c>
      <c r="F76" s="271">
        <v>499836.9197733613</v>
      </c>
      <c r="G76" s="270">
        <v>141656.29420516072</v>
      </c>
      <c r="H76" s="270">
        <v>196795.34413028017</v>
      </c>
      <c r="I76" s="270">
        <v>494430.84011127299</v>
      </c>
      <c r="J76" s="270">
        <v>691226.18424155319</v>
      </c>
      <c r="K76" s="282">
        <v>129259.2645</v>
      </c>
      <c r="L76" s="282">
        <v>423203.59399999998</v>
      </c>
      <c r="M76" s="282">
        <v>4064.6350000000002</v>
      </c>
      <c r="N76" s="268">
        <v>134698.6907415532</v>
      </c>
      <c r="P76" s="282"/>
      <c r="Q76" s="282"/>
      <c r="S76" s="270"/>
      <c r="U76" s="270"/>
      <c r="W76" s="270"/>
      <c r="Y76" s="270"/>
      <c r="AA76" s="270"/>
      <c r="AC76" s="270"/>
      <c r="AE76" s="270"/>
      <c r="AG76" s="270"/>
      <c r="AI76" s="270"/>
      <c r="AK76" s="270"/>
    </row>
    <row r="77" spans="1:37">
      <c r="A77" s="269">
        <v>25</v>
      </c>
      <c r="B77" s="273">
        <v>2030</v>
      </c>
      <c r="C77" s="270">
        <v>2756984.0391388019</v>
      </c>
      <c r="D77" s="270">
        <v>1224490.9160799996</v>
      </c>
      <c r="E77" s="270">
        <v>694204.56495000003</v>
      </c>
      <c r="F77" s="271">
        <v>499836.9197733613</v>
      </c>
      <c r="G77" s="270">
        <v>124578.46420516074</v>
      </c>
      <c r="H77" s="270">
        <v>213873.17413028015</v>
      </c>
      <c r="I77" s="270">
        <v>494430.84011127299</v>
      </c>
      <c r="J77" s="270">
        <v>708304.01424155314</v>
      </c>
      <c r="K77" s="282">
        <v>249986.114</v>
      </c>
      <c r="L77" s="282">
        <v>321705.47600000002</v>
      </c>
      <c r="M77" s="282">
        <v>1995.7329999999999</v>
      </c>
      <c r="N77" s="268">
        <v>134616.69124155311</v>
      </c>
      <c r="P77" s="282"/>
      <c r="Q77" s="282"/>
      <c r="S77" s="270"/>
      <c r="U77" s="270"/>
      <c r="W77" s="270"/>
      <c r="Y77" s="270"/>
      <c r="AA77" s="270"/>
      <c r="AC77" s="270"/>
      <c r="AE77" s="270"/>
      <c r="AG77" s="270"/>
      <c r="AI77" s="270"/>
      <c r="AK77" s="270"/>
    </row>
    <row r="78" spans="1:37">
      <c r="A78" s="269">
        <v>26</v>
      </c>
      <c r="B78" s="273">
        <v>2031</v>
      </c>
      <c r="C78" s="270">
        <v>2756984.0391388019</v>
      </c>
      <c r="D78" s="270">
        <v>1224490.9160799996</v>
      </c>
      <c r="E78" s="270">
        <v>694204.56495000003</v>
      </c>
      <c r="F78" s="271">
        <v>499836.9197733613</v>
      </c>
      <c r="G78" s="270">
        <v>111420.19520516072</v>
      </c>
      <c r="H78" s="270">
        <v>227031.44313028018</v>
      </c>
      <c r="I78" s="270">
        <v>494430.84011127299</v>
      </c>
      <c r="J78" s="270">
        <v>721462.28324155323</v>
      </c>
      <c r="K78" s="282">
        <v>267839.92825</v>
      </c>
      <c r="L78" s="282">
        <v>308534.48800000001</v>
      </c>
      <c r="M78" s="282">
        <v>10433.175999999999</v>
      </c>
      <c r="N78" s="268">
        <v>134654.69099155325</v>
      </c>
      <c r="P78" s="282"/>
      <c r="Q78" s="282"/>
      <c r="S78" s="270"/>
      <c r="U78" s="270"/>
      <c r="W78" s="270"/>
      <c r="Y78" s="270"/>
      <c r="AA78" s="270"/>
      <c r="AC78" s="270"/>
      <c r="AE78" s="270"/>
      <c r="AG78" s="270"/>
      <c r="AI78" s="270"/>
      <c r="AK78" s="270"/>
    </row>
    <row r="79" spans="1:37">
      <c r="A79" s="269">
        <v>27</v>
      </c>
      <c r="B79" s="273">
        <v>2032</v>
      </c>
      <c r="C79" s="270">
        <v>2756984.0391388019</v>
      </c>
      <c r="D79" s="270">
        <v>1224490.9160799996</v>
      </c>
      <c r="E79" s="270">
        <v>694204.56495000003</v>
      </c>
      <c r="F79" s="271">
        <v>499836.9197733613</v>
      </c>
      <c r="G79" s="270">
        <v>98555.573205160719</v>
      </c>
      <c r="H79" s="270">
        <v>239896.06513028016</v>
      </c>
      <c r="I79" s="270">
        <v>494430.84011127299</v>
      </c>
      <c r="J79" s="270">
        <v>734326.90524155321</v>
      </c>
      <c r="K79" s="282">
        <v>256519.26800000001</v>
      </c>
      <c r="L79" s="282">
        <v>343047.946</v>
      </c>
      <c r="M79" s="282">
        <v>0</v>
      </c>
      <c r="N79" s="268">
        <v>134759.6912415532</v>
      </c>
      <c r="P79" s="282"/>
      <c r="Q79" s="282"/>
      <c r="S79" s="270"/>
      <c r="U79" s="270"/>
      <c r="W79" s="270"/>
      <c r="Y79" s="270"/>
      <c r="AA79" s="270"/>
      <c r="AC79" s="270"/>
      <c r="AE79" s="270"/>
      <c r="AG79" s="270"/>
      <c r="AI79" s="270"/>
      <c r="AK79" s="270"/>
    </row>
    <row r="80" spans="1:37">
      <c r="A80" s="269">
        <v>28</v>
      </c>
      <c r="B80" s="273">
        <v>2033</v>
      </c>
      <c r="C80" s="270">
        <v>2756984.0391388019</v>
      </c>
      <c r="D80" s="270">
        <v>1224490.9160799996</v>
      </c>
      <c r="E80" s="270">
        <v>694204.56495000003</v>
      </c>
      <c r="F80" s="271">
        <v>499836.9197733613</v>
      </c>
      <c r="G80" s="270">
        <v>64915.273205160731</v>
      </c>
      <c r="H80" s="270">
        <v>273536.36513028014</v>
      </c>
      <c r="I80" s="270">
        <v>494430.84011127299</v>
      </c>
      <c r="J80" s="270">
        <v>767967.20524155314</v>
      </c>
      <c r="K80" s="282">
        <v>238944.41024999999</v>
      </c>
      <c r="L80" s="282">
        <v>390993.16899999999</v>
      </c>
      <c r="M80" s="282">
        <v>4346.9350000000004</v>
      </c>
      <c r="N80" s="268">
        <v>133682.69099155316</v>
      </c>
      <c r="P80" s="282"/>
      <c r="Q80" s="282"/>
      <c r="S80" s="270"/>
      <c r="U80" s="270"/>
      <c r="W80" s="270"/>
      <c r="Y80" s="270"/>
      <c r="AA80" s="270"/>
      <c r="AC80" s="270"/>
      <c r="AE80" s="270"/>
      <c r="AG80" s="270"/>
      <c r="AI80" s="270"/>
      <c r="AK80" s="270"/>
    </row>
    <row r="81" spans="1:37">
      <c r="A81" s="269">
        <v>29</v>
      </c>
      <c r="B81" s="273">
        <v>2034</v>
      </c>
      <c r="C81" s="270">
        <v>2756984.0391388019</v>
      </c>
      <c r="D81" s="270">
        <v>1224490.9160799996</v>
      </c>
      <c r="E81" s="270">
        <v>694204.56495000003</v>
      </c>
      <c r="F81" s="271">
        <v>499836.9197733613</v>
      </c>
      <c r="G81" s="270">
        <v>24640.578205160728</v>
      </c>
      <c r="H81" s="270">
        <v>313811.06013028015</v>
      </c>
      <c r="I81" s="270">
        <v>494430.84011127299</v>
      </c>
      <c r="J81" s="270">
        <v>808241.90024155308</v>
      </c>
      <c r="K81" s="282">
        <v>254513.47175</v>
      </c>
      <c r="L81" s="282">
        <v>419779.73700000002</v>
      </c>
      <c r="M81" s="282">
        <v>0</v>
      </c>
      <c r="N81" s="268">
        <v>133948.69149155307</v>
      </c>
      <c r="P81" s="282"/>
      <c r="Q81" s="282"/>
      <c r="S81" s="270"/>
      <c r="U81" s="270"/>
      <c r="W81" s="270"/>
      <c r="Y81" s="270"/>
      <c r="AA81" s="270"/>
      <c r="AC81" s="270"/>
      <c r="AE81" s="270"/>
      <c r="AG81" s="270"/>
      <c r="AI81" s="270"/>
      <c r="AK81" s="270"/>
    </row>
    <row r="82" spans="1:37">
      <c r="A82" s="269">
        <v>30</v>
      </c>
      <c r="B82" s="273">
        <v>2035</v>
      </c>
      <c r="C82" s="270">
        <v>2756984.0391388019</v>
      </c>
      <c r="D82" s="270">
        <v>1224490.9160799996</v>
      </c>
      <c r="E82" s="270">
        <v>694204.56495000003</v>
      </c>
      <c r="F82" s="271">
        <v>499836.9197733613</v>
      </c>
      <c r="G82" s="270">
        <v>52153.075205160727</v>
      </c>
      <c r="H82" s="270">
        <v>286298.56313028018</v>
      </c>
      <c r="I82" s="270">
        <v>494430.84011127299</v>
      </c>
      <c r="J82" s="270">
        <v>780729.40324155311</v>
      </c>
      <c r="K82" s="282">
        <v>217720.34325000001</v>
      </c>
      <c r="L82" s="282">
        <v>421464.82400000002</v>
      </c>
      <c r="M82" s="282">
        <v>7694.5450000000001</v>
      </c>
      <c r="N82" s="279">
        <v>133849.6909915531</v>
      </c>
      <c r="P82" s="282"/>
      <c r="Q82" s="282"/>
      <c r="S82" s="270"/>
      <c r="U82" s="270"/>
      <c r="W82" s="270"/>
      <c r="Y82" s="270"/>
      <c r="AA82" s="270"/>
      <c r="AC82" s="270"/>
      <c r="AE82" s="270"/>
      <c r="AG82" s="270"/>
      <c r="AI82" s="270"/>
      <c r="AK82" s="270"/>
    </row>
    <row r="83" spans="1:37">
      <c r="A83" s="269">
        <v>31</v>
      </c>
      <c r="B83" s="273">
        <v>2036</v>
      </c>
      <c r="C83" s="270">
        <v>2756984.0391388019</v>
      </c>
      <c r="D83" s="270">
        <v>1224490.9160799996</v>
      </c>
      <c r="E83" s="270">
        <v>694204.56495000003</v>
      </c>
      <c r="F83" s="271">
        <v>499836.9197733613</v>
      </c>
      <c r="G83" s="270">
        <v>55329.548205160725</v>
      </c>
      <c r="H83" s="270">
        <v>283122.09013028018</v>
      </c>
      <c r="I83" s="270">
        <v>494430.84011127299</v>
      </c>
      <c r="J83" s="270">
        <v>777552.93024155311</v>
      </c>
      <c r="K83" s="282">
        <v>206155.39850000001</v>
      </c>
      <c r="L83" s="282">
        <v>408961.39199999999</v>
      </c>
      <c r="M83" s="282">
        <v>28920.449000000001</v>
      </c>
      <c r="N83" s="279">
        <v>133515.69074155309</v>
      </c>
      <c r="P83" s="282"/>
      <c r="Q83" s="282"/>
      <c r="S83" s="270"/>
      <c r="U83" s="270"/>
      <c r="W83" s="270"/>
      <c r="Y83" s="270"/>
      <c r="AA83" s="270"/>
      <c r="AC83" s="270"/>
      <c r="AE83" s="270"/>
      <c r="AG83" s="270"/>
      <c r="AI83" s="270"/>
      <c r="AK83" s="270"/>
    </row>
    <row r="84" spans="1:37">
      <c r="A84" s="269">
        <v>32</v>
      </c>
      <c r="B84" s="273">
        <v>2037</v>
      </c>
      <c r="C84" s="270">
        <v>2756984.0391388019</v>
      </c>
      <c r="D84" s="270">
        <v>1224490.9160799996</v>
      </c>
      <c r="E84" s="270">
        <v>694204.56495000003</v>
      </c>
      <c r="F84" s="271">
        <v>499836.9197733613</v>
      </c>
      <c r="G84" s="270">
        <v>42677.704205160728</v>
      </c>
      <c r="H84" s="270">
        <v>295773.93413028016</v>
      </c>
      <c r="I84" s="270">
        <v>494430.84011127299</v>
      </c>
      <c r="J84" s="270">
        <v>790204.77424155315</v>
      </c>
      <c r="K84" s="282">
        <v>199959.035</v>
      </c>
      <c r="L84" s="282">
        <v>441341.58500000002</v>
      </c>
      <c r="M84" s="282">
        <v>15427.463</v>
      </c>
      <c r="N84" s="279">
        <v>133476.69124155314</v>
      </c>
      <c r="P84" s="282"/>
      <c r="Q84" s="282"/>
      <c r="S84" s="270"/>
      <c r="U84" s="270"/>
      <c r="W84" s="270"/>
      <c r="Y84" s="270"/>
      <c r="AA84" s="270"/>
      <c r="AC84" s="270"/>
      <c r="AE84" s="270"/>
      <c r="AG84" s="270"/>
      <c r="AI84" s="270"/>
      <c r="AK84" s="270"/>
    </row>
    <row r="85" spans="1:37">
      <c r="A85" s="269">
        <v>33</v>
      </c>
      <c r="B85" s="273">
        <v>2038</v>
      </c>
      <c r="C85" s="270">
        <v>2756984.0391388019</v>
      </c>
      <c r="D85" s="270">
        <v>1224490.9160799996</v>
      </c>
      <c r="E85" s="270">
        <v>694204.56495000003</v>
      </c>
      <c r="F85" s="271">
        <v>499836.9197733613</v>
      </c>
      <c r="G85" s="270">
        <v>29266.626205160737</v>
      </c>
      <c r="H85" s="270">
        <v>309185.01213028014</v>
      </c>
      <c r="I85" s="270">
        <v>494430.84011127299</v>
      </c>
      <c r="J85" s="270">
        <v>803615.85224155313</v>
      </c>
      <c r="K85" s="282">
        <v>190991.67624999999</v>
      </c>
      <c r="L85" s="282">
        <v>479125.48499999999</v>
      </c>
      <c r="M85" s="282">
        <v>0</v>
      </c>
      <c r="N85" s="279">
        <v>133498.69099155316</v>
      </c>
      <c r="P85" s="282"/>
      <c r="Q85" s="282"/>
      <c r="S85" s="270"/>
      <c r="U85" s="270"/>
      <c r="W85" s="270"/>
      <c r="Y85" s="270"/>
      <c r="AA85" s="270"/>
      <c r="AC85" s="270"/>
      <c r="AE85" s="270"/>
      <c r="AG85" s="270"/>
      <c r="AI85" s="270"/>
      <c r="AK85" s="270"/>
    </row>
    <row r="86" spans="1:37">
      <c r="A86" s="269">
        <v>34</v>
      </c>
      <c r="B86" s="273">
        <v>2039</v>
      </c>
      <c r="C86" s="270">
        <v>2756984.0391388019</v>
      </c>
      <c r="D86" s="270">
        <v>1224490.9160799996</v>
      </c>
      <c r="E86" s="270">
        <v>694204.56495000003</v>
      </c>
      <c r="F86" s="271">
        <v>499836.9197733613</v>
      </c>
      <c r="G86" s="270">
        <v>15571.259205160739</v>
      </c>
      <c r="H86" s="270">
        <v>322880.37913028017</v>
      </c>
      <c r="I86" s="270">
        <v>494430.84011127299</v>
      </c>
      <c r="J86" s="270">
        <v>817311.21924155322</v>
      </c>
      <c r="K86" s="282">
        <v>174720.02175000001</v>
      </c>
      <c r="L86" s="282">
        <v>495123.38099999999</v>
      </c>
      <c r="M86" s="282">
        <v>13995.125</v>
      </c>
      <c r="N86" s="279">
        <v>133472.69149155321</v>
      </c>
      <c r="P86" s="282"/>
      <c r="Q86" s="282"/>
      <c r="S86" s="270"/>
      <c r="U86" s="270"/>
      <c r="W86" s="270"/>
      <c r="Y86" s="270"/>
      <c r="AA86" s="270"/>
      <c r="AC86" s="270"/>
      <c r="AE86" s="270"/>
      <c r="AG86" s="270"/>
      <c r="AI86" s="270"/>
      <c r="AK86" s="270"/>
    </row>
    <row r="87" spans="1:37">
      <c r="A87" s="269">
        <v>35</v>
      </c>
      <c r="B87" s="273">
        <v>2040</v>
      </c>
      <c r="C87" s="270">
        <v>2756984.0391388019</v>
      </c>
      <c r="D87" s="270">
        <v>1224490.9160799996</v>
      </c>
      <c r="E87" s="270">
        <v>694204.56495000003</v>
      </c>
      <c r="F87" s="271">
        <v>499836.9197733613</v>
      </c>
      <c r="G87" s="270">
        <v>2073.7102051607417</v>
      </c>
      <c r="H87" s="270">
        <v>336377.92813028017</v>
      </c>
      <c r="I87" s="270">
        <v>494430.84011127299</v>
      </c>
      <c r="J87" s="270">
        <v>830808.7682415531</v>
      </c>
      <c r="K87" s="282">
        <v>175010.79749999999</v>
      </c>
      <c r="L87" s="282">
        <v>522431.27899999998</v>
      </c>
      <c r="M87" s="282">
        <v>0</v>
      </c>
      <c r="N87" s="279">
        <v>133366.69174155314</v>
      </c>
      <c r="P87" s="282"/>
      <c r="Q87" s="282"/>
      <c r="S87" s="270"/>
      <c r="U87" s="270"/>
      <c r="W87" s="270"/>
      <c r="Y87" s="270"/>
      <c r="AA87" s="270"/>
      <c r="AC87" s="270"/>
      <c r="AE87" s="270"/>
      <c r="AG87" s="270"/>
      <c r="AI87" s="270"/>
      <c r="AK87" s="270"/>
    </row>
    <row r="88" spans="1:37">
      <c r="A88" s="269">
        <v>36</v>
      </c>
      <c r="B88" s="273">
        <v>2041</v>
      </c>
      <c r="C88" s="270">
        <v>2756984.0391388019</v>
      </c>
      <c r="D88" s="270">
        <v>1224490.9160799996</v>
      </c>
      <c r="E88" s="270">
        <v>694204.56495000003</v>
      </c>
      <c r="F88" s="271">
        <v>499836.9197733613</v>
      </c>
      <c r="G88" s="270">
        <v>-11139.177794839265</v>
      </c>
      <c r="H88" s="270">
        <v>349590.81613028015</v>
      </c>
      <c r="I88" s="270">
        <v>494430.84011127299</v>
      </c>
      <c r="J88" s="270">
        <v>844021.65624155314</v>
      </c>
      <c r="K88" s="282">
        <v>181490.75825000001</v>
      </c>
      <c r="L88" s="282">
        <v>455535.20699999999</v>
      </c>
      <c r="M88" s="282">
        <v>73659</v>
      </c>
      <c r="N88" s="279">
        <v>133336.69099155313</v>
      </c>
      <c r="P88" s="282"/>
      <c r="Q88" s="282"/>
      <c r="S88" s="270"/>
      <c r="U88" s="270"/>
      <c r="W88" s="270"/>
      <c r="Y88" s="270"/>
      <c r="AA88" s="270"/>
      <c r="AC88" s="270"/>
      <c r="AE88" s="270"/>
      <c r="AG88" s="270"/>
      <c r="AI88" s="270"/>
      <c r="AK88" s="270"/>
    </row>
    <row r="89" spans="1:37">
      <c r="A89" s="269">
        <v>37</v>
      </c>
      <c r="B89" s="273">
        <v>2042</v>
      </c>
      <c r="C89" s="270">
        <v>2756984.0391388019</v>
      </c>
      <c r="D89" s="270">
        <v>1224490.9160799996</v>
      </c>
      <c r="E89" s="270">
        <v>694204.56495000003</v>
      </c>
      <c r="F89" s="271">
        <v>499836.9197733613</v>
      </c>
      <c r="G89" s="270">
        <v>-25059.604794839259</v>
      </c>
      <c r="H89" s="270">
        <v>363511.24313028017</v>
      </c>
      <c r="I89" s="270">
        <v>494430.84011127299</v>
      </c>
      <c r="J89" s="270">
        <v>857942.08324155316</v>
      </c>
      <c r="K89" s="282">
        <v>174139.19025000001</v>
      </c>
      <c r="L89" s="282">
        <v>550528.201</v>
      </c>
      <c r="M89" s="282">
        <v>0</v>
      </c>
      <c r="N89" s="279">
        <v>133274.69199155315</v>
      </c>
      <c r="P89" s="282"/>
      <c r="Q89" s="282"/>
      <c r="S89" s="270"/>
      <c r="U89" s="270"/>
      <c r="W89" s="270"/>
      <c r="Y89" s="270"/>
      <c r="AA89" s="270"/>
      <c r="AC89" s="270"/>
      <c r="AE89" s="270"/>
      <c r="AG89" s="270"/>
      <c r="AI89" s="270"/>
      <c r="AK89" s="270"/>
    </row>
    <row r="90" spans="1:37">
      <c r="A90" s="269">
        <v>38</v>
      </c>
      <c r="B90" s="273">
        <v>2043</v>
      </c>
      <c r="C90" s="270">
        <v>2756984.0391388019</v>
      </c>
      <c r="D90" s="270">
        <v>1224490.9160799996</v>
      </c>
      <c r="E90" s="270">
        <v>694204.56495000003</v>
      </c>
      <c r="F90" s="271">
        <v>499836.9197733613</v>
      </c>
      <c r="G90" s="270">
        <v>-41657.617794839272</v>
      </c>
      <c r="H90" s="270">
        <v>380109.25613028015</v>
      </c>
      <c r="I90" s="270">
        <v>494430.84011127299</v>
      </c>
      <c r="J90" s="270">
        <v>874540.09624155308</v>
      </c>
      <c r="K90" s="282">
        <v>70035.412750000003</v>
      </c>
      <c r="L90" s="282">
        <v>671369.99199999997</v>
      </c>
      <c r="M90" s="282">
        <v>0</v>
      </c>
      <c r="N90" s="268">
        <v>133134.69149155309</v>
      </c>
      <c r="P90" s="282"/>
      <c r="Q90" s="282"/>
      <c r="S90" s="270"/>
      <c r="U90" s="270"/>
      <c r="W90" s="270"/>
      <c r="Y90" s="270"/>
      <c r="AA90" s="270"/>
      <c r="AC90" s="270"/>
      <c r="AE90" s="270"/>
      <c r="AG90" s="270"/>
      <c r="AI90" s="270"/>
      <c r="AK90" s="270"/>
    </row>
    <row r="91" spans="1:37">
      <c r="A91" s="269">
        <v>39</v>
      </c>
      <c r="B91" s="273">
        <v>2044</v>
      </c>
      <c r="C91" s="270">
        <v>2756984.0391388019</v>
      </c>
      <c r="D91" s="270">
        <v>1224490.9160799996</v>
      </c>
      <c r="E91" s="270">
        <v>694204.56495000003</v>
      </c>
      <c r="F91" s="271">
        <v>499836.9197733613</v>
      </c>
      <c r="G91" s="270">
        <v>-53806.771794839267</v>
      </c>
      <c r="H91" s="270">
        <v>392258.41013028019</v>
      </c>
      <c r="I91" s="270">
        <v>494430.84011127299</v>
      </c>
      <c r="J91" s="270">
        <v>886689.25024155318</v>
      </c>
      <c r="K91" s="282">
        <v>175722.07225</v>
      </c>
      <c r="L91" s="282">
        <v>577875.48699999996</v>
      </c>
      <c r="M91" s="282">
        <v>0</v>
      </c>
      <c r="N91" s="268">
        <v>133091.69099155322</v>
      </c>
      <c r="P91" s="282"/>
      <c r="Q91" s="282"/>
      <c r="S91" s="270"/>
      <c r="U91" s="270"/>
      <c r="W91" s="270"/>
      <c r="Y91" s="270"/>
      <c r="AA91" s="270"/>
      <c r="AC91" s="270"/>
      <c r="AE91" s="270"/>
      <c r="AG91" s="270"/>
      <c r="AI91" s="270"/>
      <c r="AK91" s="270"/>
    </row>
    <row r="92" spans="1:37">
      <c r="A92" s="269">
        <v>40</v>
      </c>
      <c r="B92" s="273">
        <v>2045</v>
      </c>
      <c r="C92" s="270">
        <v>2756984.0391388019</v>
      </c>
      <c r="D92" s="270">
        <v>1224490.9160799996</v>
      </c>
      <c r="E92" s="270">
        <v>694204.56495000003</v>
      </c>
      <c r="F92" s="271">
        <v>499836.9197733613</v>
      </c>
      <c r="G92" s="270">
        <v>-60505.473794839272</v>
      </c>
      <c r="H92" s="270">
        <v>398957.11213028018</v>
      </c>
      <c r="I92" s="270">
        <v>494430.84011127299</v>
      </c>
      <c r="J92" s="270">
        <v>893387.95224155323</v>
      </c>
      <c r="K92" s="282">
        <v>489036.09250000003</v>
      </c>
      <c r="L92" s="282">
        <v>259842.77299999999</v>
      </c>
      <c r="M92" s="282">
        <v>11479.395</v>
      </c>
      <c r="N92" s="268">
        <v>133029.69174155314</v>
      </c>
      <c r="P92" s="282"/>
      <c r="Q92" s="282"/>
      <c r="S92" s="270"/>
      <c r="U92" s="270"/>
      <c r="W92" s="270"/>
      <c r="Y92" s="270"/>
      <c r="AA92" s="270"/>
      <c r="AC92" s="270"/>
      <c r="AE92" s="270"/>
      <c r="AG92" s="270"/>
      <c r="AI92" s="270"/>
      <c r="AK92" s="270"/>
    </row>
    <row r="93" spans="1:37">
      <c r="A93" s="269">
        <v>41</v>
      </c>
      <c r="B93" s="273">
        <v>2046</v>
      </c>
      <c r="C93" s="270">
        <v>2756984.0391388019</v>
      </c>
      <c r="D93" s="270">
        <v>1224490.9160799996</v>
      </c>
      <c r="E93" s="270">
        <v>694204.56495000003</v>
      </c>
      <c r="F93" s="271">
        <v>499836.9197733613</v>
      </c>
      <c r="G93" s="270">
        <v>-60827.38979483927</v>
      </c>
      <c r="H93" s="270">
        <v>399279.02813028014</v>
      </c>
      <c r="I93" s="270">
        <v>494430.84011127299</v>
      </c>
      <c r="J93" s="270">
        <v>893709.86824155319</v>
      </c>
      <c r="K93" s="282">
        <v>489035.16249999998</v>
      </c>
      <c r="L93" s="282">
        <v>271685.01400000002</v>
      </c>
      <c r="M93" s="282">
        <v>0</v>
      </c>
      <c r="N93" s="268">
        <v>132989.69174155325</v>
      </c>
      <c r="P93" s="282"/>
      <c r="Q93" s="282"/>
      <c r="S93" s="270"/>
      <c r="U93" s="270"/>
      <c r="W93" s="270"/>
      <c r="Y93" s="270"/>
      <c r="AA93" s="270"/>
      <c r="AC93" s="270"/>
      <c r="AE93" s="270"/>
      <c r="AG93" s="270"/>
      <c r="AI93" s="270"/>
      <c r="AK93" s="270"/>
    </row>
    <row r="94" spans="1:37">
      <c r="A94" s="269">
        <v>42</v>
      </c>
      <c r="B94" s="273">
        <v>2047</v>
      </c>
      <c r="C94" s="270">
        <v>2756984.0391388019</v>
      </c>
      <c r="D94" s="270">
        <v>1224490.9160799996</v>
      </c>
      <c r="E94" s="270">
        <v>694204.56495000003</v>
      </c>
      <c r="F94" s="271">
        <v>499836.9197733613</v>
      </c>
      <c r="G94" s="270">
        <v>-61351.607794839278</v>
      </c>
      <c r="H94" s="270">
        <v>399803.2461302802</v>
      </c>
      <c r="I94" s="270">
        <v>494430.84011127299</v>
      </c>
      <c r="J94" s="270">
        <v>894234.08624155319</v>
      </c>
      <c r="K94" s="282">
        <v>489037.30499999999</v>
      </c>
      <c r="L94" s="282">
        <v>272218.09000000003</v>
      </c>
      <c r="M94" s="282">
        <v>0</v>
      </c>
      <c r="N94" s="268">
        <v>132978.69124155323</v>
      </c>
      <c r="P94" s="282"/>
      <c r="Q94" s="282"/>
      <c r="S94" s="270"/>
      <c r="U94" s="270"/>
      <c r="W94" s="270"/>
      <c r="Y94" s="270"/>
      <c r="AA94" s="270"/>
      <c r="AC94" s="270"/>
      <c r="AE94" s="270"/>
      <c r="AG94" s="270"/>
      <c r="AI94" s="270"/>
      <c r="AK94" s="270"/>
    </row>
    <row r="95" spans="1:37">
      <c r="A95" s="269">
        <v>43</v>
      </c>
      <c r="B95" s="273">
        <v>2048</v>
      </c>
      <c r="C95" s="270">
        <v>2756984.0391388019</v>
      </c>
      <c r="D95" s="270">
        <v>1224490.9160799996</v>
      </c>
      <c r="E95" s="270">
        <v>694204.56495000003</v>
      </c>
      <c r="F95" s="271">
        <v>499836.9197733613</v>
      </c>
      <c r="G95" s="270">
        <v>-62294.028794839265</v>
      </c>
      <c r="H95" s="270">
        <v>400745.66713028017</v>
      </c>
      <c r="I95" s="270">
        <v>494430.84011127299</v>
      </c>
      <c r="J95" s="270">
        <v>895176.50724155316</v>
      </c>
      <c r="K95" s="282">
        <v>489035.14</v>
      </c>
      <c r="L95" s="282">
        <v>272770.67599999998</v>
      </c>
      <c r="M95" s="282">
        <v>0</v>
      </c>
      <c r="N95" s="268">
        <v>133370.69124155317</v>
      </c>
      <c r="P95" s="282"/>
      <c r="Q95" s="282"/>
      <c r="S95" s="270"/>
      <c r="U95" s="270"/>
      <c r="W95" s="270"/>
      <c r="Y95" s="270"/>
      <c r="AA95" s="270"/>
      <c r="AC95" s="270"/>
      <c r="AE95" s="270"/>
      <c r="AG95" s="270"/>
      <c r="AI95" s="270"/>
      <c r="AK95" s="270"/>
    </row>
    <row r="96" spans="1:37">
      <c r="A96" s="269">
        <v>44</v>
      </c>
      <c r="B96" s="273">
        <v>2049</v>
      </c>
      <c r="C96" s="270">
        <v>2756984.0391388019</v>
      </c>
      <c r="D96" s="270">
        <v>1224490.9160799996</v>
      </c>
      <c r="E96" s="270">
        <v>694204.56495000003</v>
      </c>
      <c r="F96" s="271">
        <v>499836.9197733613</v>
      </c>
      <c r="G96" s="270">
        <v>-64027.102794839273</v>
      </c>
      <c r="H96" s="270">
        <v>402478.74113028019</v>
      </c>
      <c r="I96" s="270">
        <v>494430.84011127299</v>
      </c>
      <c r="J96" s="270">
        <v>896909.58124155318</v>
      </c>
      <c r="K96" s="282">
        <v>489035.92499999999</v>
      </c>
      <c r="L96" s="282">
        <v>273335.96500000003</v>
      </c>
      <c r="M96" s="282">
        <v>0</v>
      </c>
      <c r="N96" s="268">
        <v>134537.69124155311</v>
      </c>
      <c r="P96" s="282"/>
      <c r="Q96" s="282"/>
      <c r="S96" s="270"/>
      <c r="U96" s="270"/>
      <c r="W96" s="270"/>
      <c r="Y96" s="270"/>
      <c r="AA96" s="270"/>
      <c r="AC96" s="270"/>
      <c r="AE96" s="270"/>
      <c r="AG96" s="270"/>
      <c r="AI96" s="270"/>
      <c r="AK96" s="270"/>
    </row>
    <row r="97" spans="1:37">
      <c r="A97" s="269">
        <v>45</v>
      </c>
      <c r="B97" s="273">
        <v>2050</v>
      </c>
      <c r="C97" s="270">
        <v>2756984.0391388019</v>
      </c>
      <c r="D97" s="270">
        <v>1224490.9160799996</v>
      </c>
      <c r="E97" s="270">
        <v>694204.56495000003</v>
      </c>
      <c r="F97" s="271">
        <v>499836.9197733613</v>
      </c>
      <c r="G97" s="270">
        <v>-64378.339794839267</v>
      </c>
      <c r="H97" s="270">
        <v>402829.97813028016</v>
      </c>
      <c r="I97" s="270">
        <v>494430.84011127299</v>
      </c>
      <c r="J97" s="270">
        <v>897260.81824155315</v>
      </c>
      <c r="K97" s="282">
        <v>489035.685</v>
      </c>
      <c r="L97" s="282">
        <v>257425.065</v>
      </c>
      <c r="M97" s="282">
        <v>0</v>
      </c>
      <c r="N97" s="268">
        <v>150800.06824155321</v>
      </c>
      <c r="P97" s="282"/>
      <c r="Q97" s="282"/>
      <c r="S97" s="270"/>
      <c r="U97" s="270"/>
      <c r="W97" s="270"/>
      <c r="Y97" s="270"/>
      <c r="AA97" s="270"/>
      <c r="AC97" s="270"/>
      <c r="AE97" s="270"/>
      <c r="AG97" s="270"/>
      <c r="AI97" s="270"/>
      <c r="AK97" s="270"/>
    </row>
    <row r="98" spans="1:37">
      <c r="A98" s="269">
        <v>46</v>
      </c>
      <c r="B98" s="273">
        <v>2051</v>
      </c>
      <c r="C98" s="270">
        <v>2756984.0391388019</v>
      </c>
      <c r="D98" s="270">
        <v>1224490.9160799996</v>
      </c>
      <c r="E98" s="270">
        <v>694204.56495000003</v>
      </c>
      <c r="F98" s="271">
        <v>499836.9197733613</v>
      </c>
      <c r="G98" s="270">
        <v>-64442.557794839275</v>
      </c>
      <c r="H98" s="270">
        <v>402894.19613028015</v>
      </c>
      <c r="I98" s="270">
        <v>494430.84011127299</v>
      </c>
      <c r="J98" s="270">
        <v>897325.03624155314</v>
      </c>
      <c r="K98" s="282">
        <v>489034.79249999998</v>
      </c>
      <c r="L98" s="282">
        <v>252839.40599999999</v>
      </c>
      <c r="M98" s="282">
        <v>0</v>
      </c>
      <c r="N98" s="268">
        <v>155450.8377415532</v>
      </c>
      <c r="P98" s="282"/>
      <c r="Q98" s="282"/>
      <c r="S98" s="270"/>
      <c r="U98" s="270"/>
      <c r="W98" s="270"/>
      <c r="Y98" s="270"/>
      <c r="AA98" s="270"/>
      <c r="AC98" s="270"/>
      <c r="AE98" s="270"/>
      <c r="AG98" s="270"/>
      <c r="AI98" s="270"/>
      <c r="AK98" s="270"/>
    </row>
    <row r="99" spans="1:37">
      <c r="A99" s="269">
        <v>47</v>
      </c>
      <c r="B99" s="273">
        <v>2052</v>
      </c>
      <c r="C99" s="270">
        <v>2756984.0391388019</v>
      </c>
      <c r="D99" s="270">
        <v>1224490.9160799996</v>
      </c>
      <c r="E99" s="270">
        <v>694204.56495000003</v>
      </c>
      <c r="F99" s="271">
        <v>499836.9197733613</v>
      </c>
      <c r="G99" s="270">
        <v>-64442.557794839275</v>
      </c>
      <c r="H99" s="270">
        <v>402894.19613028015</v>
      </c>
      <c r="I99" s="270">
        <v>494430.84011127299</v>
      </c>
      <c r="J99" s="270">
        <v>897325.03624155314</v>
      </c>
      <c r="K99" s="282">
        <v>489035.17749999999</v>
      </c>
      <c r="L99" s="282">
        <v>252839.40599999999</v>
      </c>
      <c r="M99" s="282">
        <v>0</v>
      </c>
      <c r="N99" s="268">
        <v>155450.45274155319</v>
      </c>
      <c r="P99" s="282"/>
      <c r="Q99" s="282"/>
      <c r="S99" s="270"/>
      <c r="U99" s="270"/>
      <c r="W99" s="270"/>
      <c r="Y99" s="270"/>
      <c r="AA99" s="270"/>
      <c r="AC99" s="270"/>
      <c r="AE99" s="270"/>
      <c r="AG99" s="270"/>
      <c r="AI99" s="270"/>
      <c r="AK99" s="270"/>
    </row>
    <row r="100" spans="1:37">
      <c r="A100" s="269">
        <v>48</v>
      </c>
      <c r="B100" s="273">
        <v>2053</v>
      </c>
      <c r="C100" s="270">
        <v>2756984.0391388019</v>
      </c>
      <c r="D100" s="270">
        <v>1224490.9160799996</v>
      </c>
      <c r="E100" s="270">
        <v>694204.56495000003</v>
      </c>
      <c r="F100" s="271">
        <v>499836.9197733613</v>
      </c>
      <c r="G100" s="270">
        <v>-64442.557794839275</v>
      </c>
      <c r="H100" s="270">
        <v>402894.19613028015</v>
      </c>
      <c r="I100" s="270">
        <v>494430.84011127299</v>
      </c>
      <c r="J100" s="270">
        <v>897325.03624155314</v>
      </c>
      <c r="K100" s="282">
        <v>489035.1825</v>
      </c>
      <c r="L100" s="282">
        <v>252839.40599999999</v>
      </c>
      <c r="M100" s="282">
        <v>0</v>
      </c>
      <c r="N100" s="268">
        <v>155450.44774155319</v>
      </c>
      <c r="P100" s="282"/>
      <c r="Q100" s="282"/>
      <c r="S100" s="270"/>
      <c r="U100" s="270"/>
      <c r="W100" s="270"/>
      <c r="Y100" s="270"/>
      <c r="AA100" s="270"/>
      <c r="AC100" s="270"/>
      <c r="AE100" s="270"/>
      <c r="AG100" s="270"/>
      <c r="AI100" s="270"/>
      <c r="AK100" s="270"/>
    </row>
    <row r="101" spans="1:37">
      <c r="A101" s="269">
        <v>49</v>
      </c>
      <c r="B101" s="273">
        <v>2054</v>
      </c>
      <c r="C101" s="270">
        <v>2756984.0391388019</v>
      </c>
      <c r="D101" s="270">
        <v>1224490.9160799996</v>
      </c>
      <c r="E101" s="270">
        <v>694204.56495000003</v>
      </c>
      <c r="F101" s="271">
        <v>499836.9197733613</v>
      </c>
      <c r="G101" s="270">
        <v>-64442.557794839275</v>
      </c>
      <c r="H101" s="270">
        <v>402894.19613028015</v>
      </c>
      <c r="I101" s="270">
        <v>494430.84011127299</v>
      </c>
      <c r="J101" s="270">
        <v>897325.03624155314</v>
      </c>
      <c r="K101" s="282">
        <v>489035.95750000002</v>
      </c>
      <c r="L101" s="282">
        <v>252839.40599999999</v>
      </c>
      <c r="M101" s="282">
        <v>0</v>
      </c>
      <c r="N101" s="268">
        <v>155449.67274155316</v>
      </c>
      <c r="P101" s="282"/>
      <c r="Q101" s="282"/>
      <c r="S101" s="270"/>
      <c r="U101" s="270"/>
      <c r="W101" s="270"/>
      <c r="Y101" s="270"/>
      <c r="AA101" s="270"/>
      <c r="AC101" s="270"/>
      <c r="AE101" s="270"/>
      <c r="AG101" s="270"/>
      <c r="AI101" s="270"/>
      <c r="AK101" s="270"/>
    </row>
    <row r="102" spans="1:37">
      <c r="A102" s="269">
        <v>50</v>
      </c>
      <c r="B102" s="273">
        <v>2055</v>
      </c>
      <c r="C102" s="270">
        <v>2756984.0391388019</v>
      </c>
      <c r="D102" s="270">
        <v>1224490.9160799996</v>
      </c>
      <c r="E102" s="270">
        <v>694204.56495000003</v>
      </c>
      <c r="F102" s="271">
        <v>499836.9197733613</v>
      </c>
      <c r="G102" s="270">
        <v>-64442.557794839275</v>
      </c>
      <c r="H102" s="270">
        <v>402894.19613028015</v>
      </c>
      <c r="I102" s="270">
        <v>494430.84011127299</v>
      </c>
      <c r="J102" s="270">
        <v>897325.03624155314</v>
      </c>
      <c r="K102" s="282">
        <v>489036.24249999999</v>
      </c>
      <c r="L102" s="282">
        <v>252839.40599999999</v>
      </c>
      <c r="M102" s="282">
        <v>0</v>
      </c>
      <c r="N102" s="268">
        <v>155449.38774155319</v>
      </c>
      <c r="P102" s="282"/>
      <c r="Q102" s="282"/>
      <c r="S102" s="270"/>
      <c r="U102" s="270"/>
      <c r="W102" s="270"/>
      <c r="Y102" s="270"/>
      <c r="AA102" s="270"/>
      <c r="AC102" s="270"/>
      <c r="AE102" s="270"/>
      <c r="AG102" s="270"/>
      <c r="AI102" s="270"/>
      <c r="AK102" s="270"/>
    </row>
    <row r="103" spans="1:37">
      <c r="A103" s="269">
        <v>51</v>
      </c>
      <c r="B103" s="273">
        <v>2056</v>
      </c>
      <c r="C103" s="270">
        <v>2756984.0391388019</v>
      </c>
      <c r="D103" s="270">
        <v>1224490.9160799996</v>
      </c>
      <c r="E103" s="270">
        <v>694204.56495000003</v>
      </c>
      <c r="F103" s="271">
        <v>499836.9197733613</v>
      </c>
      <c r="G103" s="270">
        <v>-64442.558794839264</v>
      </c>
      <c r="H103" s="270">
        <v>402894.19713028014</v>
      </c>
      <c r="I103" s="270">
        <v>494430.84011127299</v>
      </c>
      <c r="J103" s="270">
        <v>897325.03724155319</v>
      </c>
      <c r="K103" s="282">
        <v>489033.69</v>
      </c>
      <c r="L103" s="282">
        <v>252839.40599999999</v>
      </c>
      <c r="M103" s="282">
        <v>0</v>
      </c>
      <c r="N103" s="268">
        <v>155451.94124155323</v>
      </c>
      <c r="P103" s="282"/>
      <c r="Q103" s="282"/>
      <c r="S103" s="270"/>
      <c r="U103" s="270"/>
      <c r="W103" s="270"/>
      <c r="Y103" s="270"/>
      <c r="AA103" s="270"/>
      <c r="AC103" s="270"/>
      <c r="AE103" s="270"/>
      <c r="AG103" s="270"/>
      <c r="AI103" s="270"/>
      <c r="AK103" s="270"/>
    </row>
    <row r="104" spans="1:37">
      <c r="A104" s="269">
        <v>52</v>
      </c>
      <c r="B104" s="273">
        <v>2057</v>
      </c>
      <c r="C104" s="270">
        <v>2756984.0391388019</v>
      </c>
      <c r="D104" s="270">
        <v>1224490.9160799996</v>
      </c>
      <c r="E104" s="270">
        <v>694204.56495000003</v>
      </c>
      <c r="F104" s="271">
        <v>499836.9197733613</v>
      </c>
      <c r="G104" s="270">
        <v>-64442.558794839264</v>
      </c>
      <c r="H104" s="270">
        <v>402894.19713028014</v>
      </c>
      <c r="I104" s="270">
        <v>494430.84011127299</v>
      </c>
      <c r="J104" s="270">
        <v>897325.03724155319</v>
      </c>
      <c r="K104" s="282">
        <v>489033.61499999999</v>
      </c>
      <c r="L104" s="282">
        <v>252839.40599999999</v>
      </c>
      <c r="M104" s="282">
        <v>0</v>
      </c>
      <c r="N104" s="268">
        <v>155452.01624155324</v>
      </c>
      <c r="P104" s="282"/>
      <c r="Q104" s="282"/>
      <c r="S104" s="270"/>
      <c r="U104" s="270"/>
      <c r="W104" s="270"/>
      <c r="Y104" s="270"/>
      <c r="AA104" s="270"/>
      <c r="AC104" s="270"/>
      <c r="AE104" s="270"/>
      <c r="AG104" s="270"/>
      <c r="AI104" s="270"/>
      <c r="AK104" s="270"/>
    </row>
    <row r="105" spans="1:37">
      <c r="A105" s="269">
        <v>53</v>
      </c>
      <c r="B105" s="273">
        <v>2058</v>
      </c>
      <c r="C105" s="270">
        <v>2756984.0391388019</v>
      </c>
      <c r="D105" s="270">
        <v>1224490.9160799996</v>
      </c>
      <c r="E105" s="270">
        <v>694204.56495000003</v>
      </c>
      <c r="F105" s="271">
        <v>499836.9197733613</v>
      </c>
      <c r="G105" s="270">
        <v>-64442.557794839275</v>
      </c>
      <c r="H105" s="270">
        <v>402894.19613028015</v>
      </c>
      <c r="I105" s="270">
        <v>494430.84011127299</v>
      </c>
      <c r="J105" s="270">
        <v>897325.03624155314</v>
      </c>
      <c r="K105" s="282">
        <v>489034.73749999999</v>
      </c>
      <c r="L105" s="282">
        <v>252839.40599999999</v>
      </c>
      <c r="M105" s="282">
        <v>0</v>
      </c>
      <c r="N105" s="268">
        <v>155450.89274155319</v>
      </c>
      <c r="P105" s="282"/>
      <c r="Q105" s="282"/>
      <c r="S105" s="270"/>
      <c r="U105" s="270"/>
      <c r="W105" s="270"/>
      <c r="Y105" s="270"/>
      <c r="AA105" s="270"/>
      <c r="AC105" s="270"/>
      <c r="AE105" s="270"/>
      <c r="AG105" s="270"/>
      <c r="AI105" s="270"/>
      <c r="AK105" s="270"/>
    </row>
    <row r="106" spans="1:37">
      <c r="A106" s="269">
        <v>54</v>
      </c>
      <c r="B106" s="273">
        <v>2059</v>
      </c>
      <c r="C106" s="270">
        <v>2756984.0391388019</v>
      </c>
      <c r="D106" s="270">
        <v>1224490.9160799996</v>
      </c>
      <c r="E106" s="270">
        <v>694204.56495000003</v>
      </c>
      <c r="F106" s="271">
        <v>499836.9197733613</v>
      </c>
      <c r="G106" s="270">
        <v>-64442.556794839271</v>
      </c>
      <c r="H106" s="270">
        <v>402894.19513028016</v>
      </c>
      <c r="I106" s="270">
        <v>494430.84011127299</v>
      </c>
      <c r="J106" s="270">
        <v>897325.03524155309</v>
      </c>
      <c r="K106" s="282">
        <v>489038.22249999997</v>
      </c>
      <c r="L106" s="282">
        <v>252839.40599999999</v>
      </c>
      <c r="M106" s="282">
        <v>0</v>
      </c>
      <c r="N106" s="268">
        <v>155447.40674155316</v>
      </c>
      <c r="P106" s="282"/>
      <c r="Q106" s="282"/>
      <c r="S106" s="270"/>
      <c r="U106" s="270"/>
      <c r="W106" s="270"/>
      <c r="Y106" s="270"/>
      <c r="AA106" s="270"/>
      <c r="AC106" s="270"/>
      <c r="AE106" s="270"/>
      <c r="AG106" s="270"/>
      <c r="AI106" s="270"/>
      <c r="AK106" s="270"/>
    </row>
    <row r="107" spans="1:37">
      <c r="A107" s="269">
        <v>55</v>
      </c>
      <c r="B107" s="273">
        <v>2060</v>
      </c>
      <c r="C107" s="270">
        <v>2756984.0391388019</v>
      </c>
      <c r="D107" s="270">
        <v>1224490.9160799996</v>
      </c>
      <c r="E107" s="270">
        <v>694204.56495000003</v>
      </c>
      <c r="F107" s="271">
        <v>499836.9197733613</v>
      </c>
      <c r="G107" s="270">
        <v>-64442.556794839271</v>
      </c>
      <c r="H107" s="270">
        <v>402894.19513028016</v>
      </c>
      <c r="I107" s="270">
        <v>494430.84011127299</v>
      </c>
      <c r="J107" s="270">
        <v>897325.03524155309</v>
      </c>
      <c r="K107" s="282">
        <v>489037.46250000002</v>
      </c>
      <c r="L107" s="282">
        <v>252839.40599999999</v>
      </c>
      <c r="M107" s="282">
        <v>0</v>
      </c>
      <c r="N107" s="268">
        <v>155448.16674155311</v>
      </c>
      <c r="P107" s="282"/>
      <c r="Q107" s="282"/>
      <c r="S107" s="270"/>
      <c r="U107" s="270"/>
      <c r="W107" s="270"/>
      <c r="Y107" s="270"/>
      <c r="AA107" s="270"/>
      <c r="AC107" s="270"/>
      <c r="AE107" s="270"/>
      <c r="AG107" s="270"/>
      <c r="AI107" s="270"/>
      <c r="AK107" s="270"/>
    </row>
    <row r="108" spans="1:37">
      <c r="A108" s="269">
        <v>56</v>
      </c>
      <c r="B108" s="273">
        <v>2061</v>
      </c>
      <c r="C108" s="270">
        <v>2756984.0391388019</v>
      </c>
      <c r="D108" s="270">
        <v>1224490.9160799996</v>
      </c>
      <c r="E108" s="270">
        <v>694204.56495000003</v>
      </c>
      <c r="F108" s="271">
        <v>499836.9197733613</v>
      </c>
      <c r="G108" s="270">
        <v>-64442.557794839275</v>
      </c>
      <c r="H108" s="270">
        <v>402894.19613028015</v>
      </c>
      <c r="I108" s="270">
        <v>494430.84011127299</v>
      </c>
      <c r="J108" s="270">
        <v>897325.03624155314</v>
      </c>
      <c r="K108" s="282">
        <v>489037.19</v>
      </c>
      <c r="L108" s="282">
        <v>252839.40599999999</v>
      </c>
      <c r="M108" s="282">
        <v>0</v>
      </c>
      <c r="N108" s="268">
        <v>155448.44024155318</v>
      </c>
      <c r="P108" s="282"/>
      <c r="Q108" s="282"/>
      <c r="S108" s="270"/>
      <c r="U108" s="270"/>
      <c r="W108" s="270"/>
      <c r="Y108" s="270"/>
      <c r="AA108" s="270"/>
      <c r="AC108" s="270"/>
      <c r="AE108" s="270"/>
      <c r="AG108" s="270"/>
      <c r="AI108" s="270"/>
      <c r="AK108" s="270"/>
    </row>
    <row r="109" spans="1:37">
      <c r="A109" s="269">
        <v>57</v>
      </c>
      <c r="B109" s="273">
        <v>2062</v>
      </c>
      <c r="C109" s="270">
        <v>2756984.0391388019</v>
      </c>
      <c r="D109" s="270">
        <v>1224490.9160799996</v>
      </c>
      <c r="E109" s="270">
        <v>694204.56495000003</v>
      </c>
      <c r="F109" s="271">
        <v>499836.9197733613</v>
      </c>
      <c r="G109" s="270">
        <v>-64442.557794839275</v>
      </c>
      <c r="H109" s="270">
        <v>402894.19613028015</v>
      </c>
      <c r="I109" s="270">
        <v>494430.84011127299</v>
      </c>
      <c r="J109" s="270">
        <v>897325.03624155314</v>
      </c>
      <c r="K109" s="282">
        <v>489035.2525</v>
      </c>
      <c r="L109" s="282">
        <v>252839.40599999999</v>
      </c>
      <c r="M109" s="282">
        <v>0</v>
      </c>
      <c r="N109" s="268">
        <v>155450.37774155318</v>
      </c>
      <c r="P109" s="282"/>
      <c r="Q109" s="282"/>
      <c r="S109" s="270"/>
      <c r="U109" s="270"/>
      <c r="W109" s="270"/>
      <c r="Y109" s="270"/>
      <c r="AA109" s="270"/>
      <c r="AC109" s="270"/>
      <c r="AE109" s="270"/>
      <c r="AG109" s="270"/>
      <c r="AI109" s="270"/>
      <c r="AK109" s="270"/>
    </row>
    <row r="110" spans="1:37">
      <c r="A110" s="269">
        <v>58</v>
      </c>
      <c r="B110" s="273">
        <v>2063</v>
      </c>
      <c r="C110" s="270">
        <v>2756984.0391388019</v>
      </c>
      <c r="D110" s="270">
        <v>1224490.9160799996</v>
      </c>
      <c r="E110" s="270">
        <v>694204.56495000003</v>
      </c>
      <c r="F110" s="271">
        <v>499836.9197733613</v>
      </c>
      <c r="G110" s="270">
        <v>-64442.557794839275</v>
      </c>
      <c r="H110" s="270">
        <v>402894.19613028015</v>
      </c>
      <c r="I110" s="270">
        <v>494430.84011127299</v>
      </c>
      <c r="J110" s="270">
        <v>897325.03624155314</v>
      </c>
      <c r="K110" s="282">
        <v>489035.40250000003</v>
      </c>
      <c r="L110" s="282">
        <v>252839.40599999999</v>
      </c>
      <c r="M110" s="282">
        <v>0</v>
      </c>
      <c r="N110" s="268">
        <v>155450.22774155316</v>
      </c>
      <c r="P110" s="282"/>
      <c r="Q110" s="282"/>
      <c r="S110" s="270"/>
      <c r="U110" s="270"/>
      <c r="W110" s="270"/>
      <c r="Y110" s="270"/>
      <c r="AA110" s="270"/>
      <c r="AC110" s="270"/>
      <c r="AE110" s="270"/>
      <c r="AG110" s="270"/>
      <c r="AI110" s="270"/>
      <c r="AK110" s="270"/>
    </row>
    <row r="111" spans="1:37">
      <c r="A111" s="269">
        <v>59</v>
      </c>
      <c r="B111" s="273">
        <v>2064</v>
      </c>
      <c r="C111" s="270">
        <v>2756984.0391388019</v>
      </c>
      <c r="D111" s="270">
        <v>1224490.9160799996</v>
      </c>
      <c r="E111" s="270">
        <v>694204.56495000003</v>
      </c>
      <c r="F111" s="271">
        <v>499836.9197733613</v>
      </c>
      <c r="G111" s="270">
        <v>-64442.557794839275</v>
      </c>
      <c r="H111" s="270">
        <v>402894.19613028015</v>
      </c>
      <c r="I111" s="270">
        <v>494430.84011127299</v>
      </c>
      <c r="J111" s="270">
        <v>897325.03624155314</v>
      </c>
      <c r="K111" s="282">
        <v>489036.86249999999</v>
      </c>
      <c r="L111" s="282">
        <v>252839.40599999999</v>
      </c>
      <c r="M111" s="282">
        <v>0</v>
      </c>
      <c r="N111" s="268">
        <v>155448.76774155319</v>
      </c>
      <c r="P111" s="282"/>
      <c r="Q111" s="282"/>
      <c r="S111" s="270"/>
      <c r="U111" s="270"/>
      <c r="W111" s="270"/>
      <c r="Y111" s="270"/>
      <c r="AA111" s="270"/>
      <c r="AC111" s="270"/>
      <c r="AE111" s="270"/>
      <c r="AG111" s="270"/>
      <c r="AI111" s="270"/>
      <c r="AK111" s="270"/>
    </row>
    <row r="112" spans="1:37">
      <c r="A112" s="269">
        <v>60</v>
      </c>
      <c r="B112" s="273">
        <v>2065</v>
      </c>
      <c r="C112" s="270">
        <v>2756984.0391388019</v>
      </c>
      <c r="D112" s="270">
        <v>1224490.9160799996</v>
      </c>
      <c r="E112" s="270">
        <v>694204.56495000003</v>
      </c>
      <c r="F112" s="271">
        <v>499836.9197733613</v>
      </c>
      <c r="G112" s="270">
        <v>-64442.557794839275</v>
      </c>
      <c r="H112" s="270">
        <v>402894.19613028015</v>
      </c>
      <c r="I112" s="270">
        <v>494430.84011127299</v>
      </c>
      <c r="J112" s="270">
        <v>897325.03624155314</v>
      </c>
      <c r="K112" s="282">
        <v>489034.47</v>
      </c>
      <c r="L112" s="282">
        <v>252839.40599999999</v>
      </c>
      <c r="M112" s="282">
        <v>0</v>
      </c>
      <c r="N112" s="268">
        <v>155451.16024155321</v>
      </c>
      <c r="P112" s="282"/>
      <c r="Q112" s="282"/>
      <c r="S112" s="270"/>
      <c r="U112" s="270"/>
      <c r="W112" s="270"/>
      <c r="Y112" s="270"/>
      <c r="AA112" s="270"/>
      <c r="AC112" s="270"/>
      <c r="AE112" s="270"/>
      <c r="AG112" s="270"/>
      <c r="AI112" s="270"/>
      <c r="AK112" s="270"/>
    </row>
    <row r="113" spans="1:37">
      <c r="A113" s="269">
        <v>61</v>
      </c>
      <c r="B113" s="273">
        <v>2066</v>
      </c>
      <c r="C113" s="270">
        <v>2756984.0391388019</v>
      </c>
      <c r="D113" s="270">
        <v>1224490.9160799996</v>
      </c>
      <c r="E113" s="270">
        <v>694204.56495000003</v>
      </c>
      <c r="F113" s="271">
        <v>499836.9197733613</v>
      </c>
      <c r="G113" s="270">
        <v>-64442.557794839275</v>
      </c>
      <c r="H113" s="270">
        <v>402894.19613028015</v>
      </c>
      <c r="I113" s="270">
        <v>494430.84011127299</v>
      </c>
      <c r="J113" s="270">
        <v>897325.03624155314</v>
      </c>
      <c r="K113" s="282">
        <v>489035.07250000001</v>
      </c>
      <c r="L113" s="282">
        <v>252839.40599999999</v>
      </c>
      <c r="M113" s="282">
        <v>0</v>
      </c>
      <c r="N113" s="268">
        <v>155450.55774155317</v>
      </c>
      <c r="P113" s="282"/>
      <c r="Q113" s="282"/>
      <c r="S113" s="270"/>
      <c r="U113" s="270"/>
      <c r="W113" s="270"/>
      <c r="Y113" s="270"/>
      <c r="AA113" s="270"/>
      <c r="AC113" s="270"/>
      <c r="AE113" s="270"/>
      <c r="AG113" s="270"/>
      <c r="AI113" s="270"/>
      <c r="AK113" s="270"/>
    </row>
    <row r="114" spans="1:37">
      <c r="A114" s="269">
        <v>62</v>
      </c>
      <c r="B114" s="273">
        <v>2067</v>
      </c>
      <c r="C114" s="270">
        <v>2756984.0391388019</v>
      </c>
      <c r="D114" s="270">
        <v>1224490.9160799996</v>
      </c>
      <c r="E114" s="270">
        <v>694204.56495000003</v>
      </c>
      <c r="F114" s="271">
        <v>499836.9197733613</v>
      </c>
      <c r="G114" s="270">
        <v>-64442.557794839275</v>
      </c>
      <c r="H114" s="270">
        <v>402894.19613028015</v>
      </c>
      <c r="I114" s="270">
        <v>494430.84011127299</v>
      </c>
      <c r="J114" s="270">
        <v>897325.03624155314</v>
      </c>
      <c r="K114" s="282">
        <v>489036.73</v>
      </c>
      <c r="L114" s="282">
        <v>252839.40599999999</v>
      </c>
      <c r="M114" s="282">
        <v>0</v>
      </c>
      <c r="N114" s="268">
        <v>155448.9002415532</v>
      </c>
      <c r="P114" s="282"/>
      <c r="Q114" s="282"/>
      <c r="S114" s="270"/>
      <c r="U114" s="270"/>
      <c r="W114" s="270"/>
      <c r="Y114" s="270"/>
      <c r="AA114" s="270"/>
      <c r="AC114" s="270"/>
      <c r="AE114" s="270"/>
      <c r="AG114" s="270"/>
      <c r="AI114" s="270"/>
      <c r="AK114" s="270"/>
    </row>
    <row r="115" spans="1:37">
      <c r="A115" s="269">
        <v>63</v>
      </c>
      <c r="B115" s="273">
        <v>2068</v>
      </c>
      <c r="C115" s="270">
        <v>2756984.0391388019</v>
      </c>
      <c r="D115" s="270">
        <v>1224490.9160799996</v>
      </c>
      <c r="E115" s="270">
        <v>694204.56495000003</v>
      </c>
      <c r="F115" s="271">
        <v>499836.9197733613</v>
      </c>
      <c r="G115" s="270">
        <v>-64442.557794839275</v>
      </c>
      <c r="H115" s="270">
        <v>402894.19613028015</v>
      </c>
      <c r="I115" s="270">
        <v>494430.84011127299</v>
      </c>
      <c r="J115" s="270">
        <v>897325.03624155314</v>
      </c>
      <c r="K115" s="282">
        <v>489034.07750000001</v>
      </c>
      <c r="L115" s="282">
        <v>252839.40599999999</v>
      </c>
      <c r="M115" s="282">
        <v>0</v>
      </c>
      <c r="N115" s="268">
        <v>155451.55274155317</v>
      </c>
      <c r="P115" s="282"/>
      <c r="Q115" s="282"/>
      <c r="S115" s="270"/>
      <c r="U115" s="270"/>
      <c r="W115" s="270"/>
      <c r="Y115" s="270"/>
      <c r="AA115" s="270"/>
      <c r="AC115" s="270"/>
      <c r="AE115" s="270"/>
      <c r="AG115" s="270"/>
      <c r="AI115" s="270"/>
      <c r="AK115" s="270"/>
    </row>
    <row r="116" spans="1:37">
      <c r="A116" s="269">
        <v>64</v>
      </c>
      <c r="B116" s="273">
        <v>2069</v>
      </c>
      <c r="C116" s="270">
        <v>2756984.0391388019</v>
      </c>
      <c r="D116" s="270">
        <v>1224490.9160799996</v>
      </c>
      <c r="E116" s="270">
        <v>694204.56495000003</v>
      </c>
      <c r="F116" s="271">
        <v>499836.9197733613</v>
      </c>
      <c r="G116" s="270">
        <v>-64442.557794839275</v>
      </c>
      <c r="H116" s="270">
        <v>402894.19613028015</v>
      </c>
      <c r="I116" s="270">
        <v>494430.84011127299</v>
      </c>
      <c r="J116" s="270">
        <v>897325.03624155314</v>
      </c>
      <c r="K116" s="282">
        <v>489034.64750000002</v>
      </c>
      <c r="L116" s="282">
        <v>252839.40599999999</v>
      </c>
      <c r="M116" s="282">
        <v>0</v>
      </c>
      <c r="N116" s="268">
        <v>155450.98274155316</v>
      </c>
      <c r="P116" s="282"/>
      <c r="Q116" s="282"/>
      <c r="S116" s="270"/>
      <c r="U116" s="270"/>
      <c r="W116" s="270"/>
      <c r="Y116" s="270"/>
      <c r="AA116" s="270"/>
      <c r="AC116" s="270"/>
      <c r="AE116" s="270"/>
      <c r="AG116" s="270"/>
      <c r="AI116" s="270"/>
      <c r="AK116" s="270"/>
    </row>
    <row r="117" spans="1:37">
      <c r="A117" s="269">
        <v>65</v>
      </c>
      <c r="B117" s="273">
        <v>2070</v>
      </c>
      <c r="C117" s="270">
        <v>2756984.0391388019</v>
      </c>
      <c r="D117" s="270">
        <v>1224490.9160799996</v>
      </c>
      <c r="E117" s="270">
        <v>694204.56495000003</v>
      </c>
      <c r="F117" s="271">
        <v>499836.9197733613</v>
      </c>
      <c r="G117" s="270">
        <v>-64442.557794839275</v>
      </c>
      <c r="H117" s="270">
        <v>402894.19613028015</v>
      </c>
      <c r="I117" s="270">
        <v>494430.84011127299</v>
      </c>
      <c r="J117" s="270">
        <v>897325.03624155314</v>
      </c>
      <c r="K117" s="282">
        <v>489034.25</v>
      </c>
      <c r="L117" s="282">
        <v>252839.40599999999</v>
      </c>
      <c r="M117" s="282">
        <v>0</v>
      </c>
      <c r="N117" s="268">
        <v>155451.38024155318</v>
      </c>
      <c r="P117" s="282"/>
      <c r="Q117" s="282"/>
      <c r="S117" s="270"/>
      <c r="U117" s="270"/>
      <c r="W117" s="270"/>
      <c r="Y117" s="270"/>
      <c r="AA117" s="270"/>
      <c r="AC117" s="270"/>
      <c r="AE117" s="270"/>
      <c r="AG117" s="270"/>
      <c r="AI117" s="270"/>
      <c r="AK117" s="270"/>
    </row>
    <row r="118" spans="1:37">
      <c r="A118" s="269">
        <v>66</v>
      </c>
      <c r="B118" s="273">
        <v>2071</v>
      </c>
      <c r="C118" s="270">
        <v>2756984.0391388019</v>
      </c>
      <c r="D118" s="270">
        <v>1224490.9160799996</v>
      </c>
      <c r="E118" s="270">
        <v>694204.56495000003</v>
      </c>
      <c r="F118" s="271">
        <v>499836.9197733613</v>
      </c>
      <c r="G118" s="270">
        <v>-64442.557794839275</v>
      </c>
      <c r="H118" s="270">
        <v>402894.19613028015</v>
      </c>
      <c r="I118" s="270">
        <v>494430.84011127299</v>
      </c>
      <c r="J118" s="270">
        <v>897325.03624155314</v>
      </c>
      <c r="K118" s="282">
        <v>489034.98</v>
      </c>
      <c r="L118" s="282">
        <v>252839.40599999999</v>
      </c>
      <c r="M118" s="282">
        <v>0</v>
      </c>
      <c r="N118" s="268">
        <v>155450.6502415532</v>
      </c>
      <c r="P118" s="282"/>
      <c r="Q118" s="282"/>
      <c r="S118" s="270"/>
      <c r="U118" s="270"/>
      <c r="W118" s="270"/>
      <c r="Y118" s="270"/>
      <c r="AA118" s="270"/>
      <c r="AC118" s="270"/>
      <c r="AE118" s="270"/>
      <c r="AG118" s="270"/>
      <c r="AI118" s="270"/>
      <c r="AK118" s="270"/>
    </row>
    <row r="119" spans="1:37">
      <c r="A119" s="269">
        <v>67</v>
      </c>
      <c r="B119" s="273">
        <v>2072</v>
      </c>
      <c r="C119" s="270">
        <v>2756984.0391388019</v>
      </c>
      <c r="D119" s="270">
        <v>1224490.9160799996</v>
      </c>
      <c r="E119" s="270">
        <v>694204.56495000003</v>
      </c>
      <c r="F119" s="271">
        <v>499836.9197733613</v>
      </c>
      <c r="G119" s="270">
        <v>-64442.557794839275</v>
      </c>
      <c r="H119" s="270">
        <v>402894.19613028015</v>
      </c>
      <c r="I119" s="270">
        <v>494430.84011127299</v>
      </c>
      <c r="J119" s="270">
        <v>897325.03624155314</v>
      </c>
      <c r="K119" s="282">
        <v>489037.21</v>
      </c>
      <c r="L119" s="282">
        <v>252839.40599999999</v>
      </c>
      <c r="M119" s="282">
        <v>0</v>
      </c>
      <c r="N119" s="268">
        <v>155448.42024155316</v>
      </c>
      <c r="P119" s="282"/>
      <c r="Q119" s="282"/>
      <c r="S119" s="270"/>
      <c r="U119" s="270"/>
      <c r="W119" s="270"/>
      <c r="Y119" s="270"/>
      <c r="AA119" s="270"/>
      <c r="AC119" s="270"/>
      <c r="AE119" s="270"/>
      <c r="AG119" s="270"/>
      <c r="AI119" s="270"/>
      <c r="AK119" s="270"/>
    </row>
    <row r="120" spans="1:37">
      <c r="A120" s="269">
        <v>68</v>
      </c>
      <c r="B120" s="273">
        <v>2073</v>
      </c>
      <c r="C120" s="270">
        <v>2756984.0391388019</v>
      </c>
      <c r="D120" s="270">
        <v>1224490.9160799996</v>
      </c>
      <c r="E120" s="270">
        <v>694204.56495000003</v>
      </c>
      <c r="F120" s="271">
        <v>499836.9197733613</v>
      </c>
      <c r="G120" s="270">
        <v>-64442.557794839275</v>
      </c>
      <c r="H120" s="270">
        <v>402894.19613028015</v>
      </c>
      <c r="I120" s="270">
        <v>494430.84011127299</v>
      </c>
      <c r="J120" s="270">
        <v>897325.03624155314</v>
      </c>
      <c r="K120" s="282">
        <v>489035.76750000002</v>
      </c>
      <c r="L120" s="282">
        <v>252839.40599999999</v>
      </c>
      <c r="M120" s="282">
        <v>0</v>
      </c>
      <c r="N120" s="268">
        <v>155449.86274155317</v>
      </c>
      <c r="P120" s="282"/>
      <c r="Q120" s="282"/>
      <c r="S120" s="270"/>
      <c r="U120" s="270"/>
      <c r="W120" s="270"/>
      <c r="Y120" s="270"/>
      <c r="AA120" s="270"/>
      <c r="AC120" s="270"/>
      <c r="AE120" s="270"/>
      <c r="AG120" s="270"/>
      <c r="AI120" s="270"/>
      <c r="AK120" s="270"/>
    </row>
    <row r="121" spans="1:37">
      <c r="A121" s="269">
        <v>69</v>
      </c>
      <c r="B121" s="273"/>
      <c r="C121" s="270"/>
      <c r="D121" s="270"/>
      <c r="E121" s="270"/>
      <c r="F121" s="271"/>
      <c r="G121" s="270"/>
      <c r="H121" s="270"/>
      <c r="I121" s="270"/>
      <c r="J121" s="270"/>
      <c r="K121" s="270"/>
      <c r="L121" s="282"/>
      <c r="M121" s="282"/>
      <c r="N121" s="268"/>
      <c r="P121" s="282"/>
      <c r="Q121" s="282"/>
      <c r="S121" s="270"/>
      <c r="U121" s="270"/>
      <c r="W121" s="270"/>
      <c r="Y121" s="270"/>
      <c r="AA121" s="270"/>
      <c r="AC121" s="270"/>
      <c r="AE121" s="270"/>
      <c r="AG121" s="270"/>
      <c r="AI121" s="270"/>
      <c r="AK121" s="270"/>
    </row>
    <row r="122" spans="1:37">
      <c r="A122" s="269">
        <v>70</v>
      </c>
      <c r="B122" s="267" t="s">
        <v>333</v>
      </c>
      <c r="S122" s="270"/>
      <c r="U122" s="270"/>
      <c r="W122" s="270"/>
    </row>
    <row r="123" spans="1:37">
      <c r="A123" s="269">
        <v>71</v>
      </c>
      <c r="B123" s="261" t="s">
        <v>547</v>
      </c>
      <c r="C123" s="270">
        <v>280198120.64740902</v>
      </c>
      <c r="D123" s="270">
        <v>100815071.1535999</v>
      </c>
      <c r="E123" s="270">
        <v>110543800.72089019</v>
      </c>
      <c r="F123" s="271">
        <v>36096093.542093486</v>
      </c>
      <c r="G123" s="270">
        <v>10961676.555549312</v>
      </c>
      <c r="H123" s="270">
        <v>21781478.675276659</v>
      </c>
      <c r="I123" s="270">
        <v>33625659.065084338</v>
      </c>
      <c r="J123" s="270">
        <v>56485901.033604823</v>
      </c>
      <c r="K123" s="270">
        <f>SUM(K56:K122)</f>
        <v>19545532.815000001</v>
      </c>
      <c r="L123" s="270">
        <v>28438457.121999986</v>
      </c>
      <c r="M123" s="270">
        <v>807938.39000000013</v>
      </c>
      <c r="N123" s="270">
        <v>7693972.5900548128</v>
      </c>
      <c r="P123" s="268"/>
      <c r="Q123" s="268"/>
      <c r="S123" s="270"/>
      <c r="U123" s="270"/>
      <c r="W123" s="270"/>
      <c r="Y123" s="270"/>
      <c r="AA123" s="270"/>
      <c r="AC123" s="270"/>
      <c r="AE123" s="270"/>
      <c r="AG123" s="270"/>
      <c r="AI123" s="270"/>
      <c r="AK123" s="270"/>
    </row>
    <row r="124" spans="1:37">
      <c r="A124" s="245"/>
      <c r="F124" s="245"/>
      <c r="M124" s="268"/>
      <c r="O124" s="245"/>
      <c r="P124" s="245"/>
      <c r="Q124" s="245"/>
    </row>
    <row r="125" spans="1:37" ht="40.5" customHeight="1">
      <c r="A125" s="290" t="s">
        <v>232</v>
      </c>
      <c r="B125" s="392" t="s">
        <v>769</v>
      </c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245"/>
      <c r="P125" s="245"/>
      <c r="Q125" s="245"/>
    </row>
    <row r="126" spans="1:37">
      <c r="A126" s="290" t="s">
        <v>352</v>
      </c>
      <c r="B126" s="291" t="s">
        <v>713</v>
      </c>
      <c r="F126" s="245"/>
      <c r="N126" s="245"/>
      <c r="O126" s="245"/>
      <c r="P126" s="245"/>
      <c r="Q126" s="245"/>
    </row>
    <row r="127" spans="1:37">
      <c r="A127" s="290"/>
      <c r="B127" s="291"/>
      <c r="N127" s="245"/>
      <c r="O127" s="245"/>
      <c r="P127" s="245"/>
      <c r="Q127" s="245"/>
    </row>
    <row r="129" spans="1:17">
      <c r="A129" s="245"/>
      <c r="B129" s="291"/>
      <c r="N129" s="245"/>
      <c r="O129" s="245"/>
      <c r="P129" s="245"/>
      <c r="Q129" s="245"/>
    </row>
    <row r="135" spans="1:17">
      <c r="A135" s="245"/>
      <c r="B135" s="254"/>
      <c r="N135" s="245"/>
      <c r="O135" s="245"/>
      <c r="P135" s="245"/>
      <c r="Q135" s="245"/>
    </row>
    <row r="136" spans="1:17">
      <c r="A136" s="245"/>
      <c r="B136" s="291"/>
      <c r="N136" s="245"/>
      <c r="O136" s="245"/>
      <c r="P136" s="245"/>
      <c r="Q136" s="245"/>
    </row>
    <row r="137" spans="1:17">
      <c r="A137" s="245"/>
      <c r="B137" s="291"/>
      <c r="N137" s="245"/>
      <c r="O137" s="245"/>
      <c r="P137" s="245"/>
      <c r="Q137" s="245"/>
    </row>
  </sheetData>
  <mergeCells count="1">
    <mergeCell ref="B125:N1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</sheetPr>
  <dimension ref="A1:AM996"/>
  <sheetViews>
    <sheetView topLeftCell="A133" zoomScaleNormal="100" workbookViewId="0">
      <selection activeCell="A152" sqref="A152:XFD154"/>
    </sheetView>
  </sheetViews>
  <sheetFormatPr defaultRowHeight="12.75"/>
  <cols>
    <col min="1" max="1" width="19.85546875" style="343" customWidth="1"/>
    <col min="2" max="2" width="21.5703125" style="70" customWidth="1"/>
    <col min="3" max="3" width="43" style="70" bestFit="1" customWidth="1"/>
    <col min="4" max="4" width="10" style="91" bestFit="1" customWidth="1"/>
    <col min="5" max="5" width="11.85546875" style="91" customWidth="1"/>
    <col min="6" max="9" width="12" style="71" bestFit="1" customWidth="1"/>
    <col min="10" max="10" width="11.140625" style="151" customWidth="1"/>
    <col min="11" max="11" width="10" style="151" customWidth="1"/>
    <col min="12" max="12" width="10" style="151" bestFit="1" customWidth="1"/>
    <col min="13" max="13" width="9.28515625" style="151" bestFit="1" customWidth="1"/>
    <col min="14" max="14" width="10" style="151" bestFit="1" customWidth="1"/>
    <col min="15" max="19" width="9.28515625" style="151" bestFit="1" customWidth="1"/>
    <col min="20" max="20" width="11" style="151" bestFit="1" customWidth="1"/>
    <col min="21" max="25" width="9.28515625" style="151" bestFit="1" customWidth="1"/>
    <col min="26" max="26" width="10.85546875" style="151" bestFit="1" customWidth="1"/>
    <col min="27" max="27" width="14.5703125" style="151" bestFit="1" customWidth="1"/>
    <col min="28" max="16384" width="9.140625" style="151"/>
  </cols>
  <sheetData>
    <row r="1" spans="1:39" s="58" customFormat="1" ht="18.75">
      <c r="A1" s="337" t="s">
        <v>70</v>
      </c>
      <c r="C1" s="59"/>
      <c r="D1" s="121"/>
      <c r="E1" s="121"/>
      <c r="F1" s="59"/>
      <c r="G1" s="59"/>
      <c r="H1" s="60"/>
    </row>
    <row r="2" spans="1:39" s="58" customFormat="1" ht="18.75">
      <c r="A2" s="337" t="s">
        <v>69</v>
      </c>
      <c r="C2" s="60"/>
      <c r="D2" s="122"/>
      <c r="E2" s="122"/>
      <c r="F2" s="60"/>
      <c r="G2" s="61"/>
      <c r="H2" s="60"/>
    </row>
    <row r="3" spans="1:39" s="58" customFormat="1">
      <c r="A3" s="62" t="s">
        <v>71</v>
      </c>
      <c r="B3" s="62" t="s">
        <v>72</v>
      </c>
      <c r="C3" s="62" t="s">
        <v>73</v>
      </c>
      <c r="D3" s="123"/>
      <c r="E3" s="123"/>
    </row>
    <row r="4" spans="1:39" ht="31.5" customHeight="1" thickBot="1">
      <c r="A4" s="63" t="s">
        <v>74</v>
      </c>
      <c r="B4" s="151" t="s">
        <v>74</v>
      </c>
      <c r="C4" s="151" t="s">
        <v>74</v>
      </c>
      <c r="D4" s="64">
        <f>+'Income Statement Cash Flows'!E6</f>
        <v>2022</v>
      </c>
      <c r="E4" s="64">
        <f>+'Income Statement Cash Flows'!F6</f>
        <v>2023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>
      <c r="A5" s="63" t="s">
        <v>0</v>
      </c>
      <c r="B5" s="338" t="s">
        <v>1</v>
      </c>
      <c r="C5" s="65" t="s">
        <v>2</v>
      </c>
      <c r="D5" s="66">
        <f>+'IPR Data'!C4/1000</f>
        <v>278642.76900999999</v>
      </c>
      <c r="E5" s="66">
        <f>+'IPR Data'!D4/1000</f>
        <v>304747.84697000001</v>
      </c>
      <c r="F5" s="66"/>
      <c r="G5" s="66"/>
      <c r="H5" s="66"/>
      <c r="I5" s="66"/>
      <c r="J5" s="66"/>
      <c r="K5" s="66"/>
      <c r="L5" s="66"/>
      <c r="M5" s="66"/>
      <c r="N5" s="6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9">
      <c r="A6" s="63" t="s">
        <v>0</v>
      </c>
      <c r="B6" s="154" t="s">
        <v>1</v>
      </c>
      <c r="C6" s="1" t="s">
        <v>3</v>
      </c>
      <c r="D6" s="66">
        <f>+'IPR Data'!C5/1000</f>
        <v>152269.00003000002</v>
      </c>
      <c r="E6" s="66">
        <f>+'IPR Data'!D5/1000</f>
        <v>152963.00003000002</v>
      </c>
      <c r="F6" s="66"/>
      <c r="G6" s="66"/>
      <c r="H6" s="66"/>
      <c r="I6" s="66"/>
      <c r="J6" s="66"/>
      <c r="K6" s="66"/>
      <c r="L6" s="66"/>
      <c r="M6" s="66"/>
      <c r="N6" s="6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39">
      <c r="A7" s="63" t="s">
        <v>0</v>
      </c>
      <c r="B7" s="154" t="s">
        <v>1</v>
      </c>
      <c r="C7" s="1" t="s">
        <v>4</v>
      </c>
      <c r="D7" s="66">
        <f>+'IPR Data'!C6/1000</f>
        <v>252557.00003000002</v>
      </c>
      <c r="E7" s="66">
        <f>+'IPR Data'!D6/1000</f>
        <v>252557.00003000002</v>
      </c>
      <c r="F7" s="66"/>
      <c r="G7" s="66"/>
      <c r="H7" s="66"/>
      <c r="I7" s="66"/>
      <c r="J7" s="66"/>
      <c r="K7" s="66"/>
      <c r="L7" s="66"/>
      <c r="M7" s="66"/>
      <c r="N7" s="6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39">
      <c r="A8" s="63" t="s">
        <v>0</v>
      </c>
      <c r="B8" s="154" t="s">
        <v>1</v>
      </c>
      <c r="C8" s="1" t="s">
        <v>751</v>
      </c>
      <c r="D8" s="66">
        <f>+'IPR Data'!C86</f>
        <v>7265.5398000000005</v>
      </c>
      <c r="E8" s="66">
        <f>+'IPR Data'!D86</f>
        <v>3618.7538</v>
      </c>
      <c r="F8" s="66"/>
      <c r="G8" s="66"/>
      <c r="H8" s="66"/>
      <c r="I8" s="66"/>
      <c r="J8" s="66"/>
      <c r="K8" s="66"/>
      <c r="L8" s="66"/>
      <c r="M8" s="66"/>
      <c r="N8" s="6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9">
      <c r="A9" s="63" t="s">
        <v>0</v>
      </c>
      <c r="B9" s="154" t="s">
        <v>1</v>
      </c>
      <c r="C9" s="1" t="s">
        <v>5</v>
      </c>
      <c r="D9" s="66">
        <f>+'IPR Data'!C9/1000</f>
        <v>5300</v>
      </c>
      <c r="E9" s="66">
        <f>+'IPR Data'!D9/1000</f>
        <v>5300</v>
      </c>
      <c r="F9" s="66"/>
      <c r="G9" s="66"/>
      <c r="H9" s="66"/>
      <c r="I9" s="66"/>
      <c r="J9" s="66"/>
      <c r="K9" s="66"/>
      <c r="L9" s="66"/>
      <c r="M9" s="66"/>
      <c r="N9" s="6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39">
      <c r="A10" s="63" t="s">
        <v>0</v>
      </c>
      <c r="B10" s="154" t="s">
        <v>1</v>
      </c>
      <c r="C10" s="1" t="s">
        <v>6</v>
      </c>
      <c r="D10" s="66">
        <f>+'IPR Data'!C8/1000</f>
        <v>8600</v>
      </c>
      <c r="E10" s="66">
        <f>+'IPR Data'!D8/1000</f>
        <v>9600.0000099999997</v>
      </c>
      <c r="F10" s="66"/>
      <c r="G10" s="66"/>
      <c r="H10" s="66"/>
      <c r="I10" s="66"/>
      <c r="J10" s="66"/>
      <c r="K10" s="66"/>
      <c r="L10" s="66"/>
      <c r="M10" s="66"/>
      <c r="N10" s="6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39">
      <c r="A11" s="63" t="s">
        <v>0</v>
      </c>
      <c r="B11" s="154" t="s">
        <v>1</v>
      </c>
      <c r="C11" s="1" t="s">
        <v>8</v>
      </c>
      <c r="D11" s="66">
        <f>+'IPR Data'!C12/1000</f>
        <v>1368.4840099999999</v>
      </c>
      <c r="E11" s="66">
        <f>+'IPR Data'!D12/1000</f>
        <v>1410.4310099999998</v>
      </c>
      <c r="F11" s="66"/>
      <c r="G11" s="66"/>
      <c r="H11" s="66"/>
      <c r="I11" s="66"/>
      <c r="J11" s="66"/>
      <c r="K11" s="66"/>
      <c r="L11" s="66"/>
      <c r="M11" s="66"/>
      <c r="N11" s="6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39">
      <c r="A12" s="63" t="s">
        <v>0</v>
      </c>
      <c r="B12" s="154" t="s">
        <v>1</v>
      </c>
      <c r="C12" s="1" t="s">
        <v>75</v>
      </c>
      <c r="D12" s="66">
        <f>+'IPR Data'!C11/1000</f>
        <v>767.82703000000004</v>
      </c>
      <c r="E12" s="66">
        <f>+'IPR Data'!D11/1000</f>
        <v>812.8259700000001</v>
      </c>
      <c r="F12" s="66"/>
      <c r="G12" s="66"/>
      <c r="H12" s="66"/>
      <c r="I12" s="66"/>
      <c r="J12" s="66"/>
      <c r="K12" s="66"/>
      <c r="L12" s="66"/>
      <c r="M12" s="66"/>
      <c r="N12" s="6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39">
      <c r="A13" s="63" t="s">
        <v>0</v>
      </c>
      <c r="B13" s="154" t="s">
        <v>9</v>
      </c>
      <c r="C13" s="238" t="s">
        <v>763</v>
      </c>
      <c r="D13" s="66">
        <f>+'IPR Data'!C14/1000</f>
        <v>22000</v>
      </c>
      <c r="E13" s="66">
        <f>+'IPR Data'!D14/1000</f>
        <v>22000</v>
      </c>
      <c r="F13" s="66"/>
      <c r="G13" s="66"/>
      <c r="H13" s="66"/>
      <c r="I13" s="66"/>
      <c r="J13" s="66"/>
      <c r="K13" s="66"/>
      <c r="L13" s="66"/>
      <c r="M13" s="66"/>
      <c r="N13" s="6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39">
      <c r="A14" s="63" t="s">
        <v>0</v>
      </c>
      <c r="B14" s="154" t="s">
        <v>9</v>
      </c>
      <c r="C14" s="339" t="s">
        <v>764</v>
      </c>
      <c r="D14" s="66">
        <f>+'IPR Data'!C15/1000</f>
        <v>5749.2500399999999</v>
      </c>
      <c r="E14" s="66">
        <f>+'IPR Data'!D15/1000</f>
        <v>5499.9999600000001</v>
      </c>
      <c r="F14" s="66"/>
      <c r="G14" s="66"/>
      <c r="H14" s="66"/>
      <c r="I14" s="66"/>
      <c r="J14" s="66"/>
      <c r="K14" s="66"/>
      <c r="L14" s="66"/>
      <c r="M14" s="66"/>
      <c r="N14" s="6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39">
      <c r="A15" s="63" t="s">
        <v>0</v>
      </c>
      <c r="B15" s="154" t="s">
        <v>10</v>
      </c>
      <c r="C15" s="1" t="s">
        <v>11</v>
      </c>
      <c r="D15" s="66">
        <f>+'IPR Data'!C17/1000</f>
        <v>1199.9999600000001</v>
      </c>
      <c r="E15" s="66">
        <f>+'IPR Data'!D17/1000</f>
        <v>1199.9999600000001</v>
      </c>
      <c r="F15" s="66"/>
      <c r="G15" s="66"/>
      <c r="H15" s="66"/>
      <c r="I15" s="66"/>
      <c r="J15" s="66"/>
      <c r="K15" s="66"/>
      <c r="L15" s="66"/>
      <c r="M15" s="66"/>
      <c r="N15" s="6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39">
      <c r="A16" s="63" t="s">
        <v>0</v>
      </c>
      <c r="B16" s="154" t="s">
        <v>10</v>
      </c>
      <c r="C16" s="1" t="s">
        <v>12</v>
      </c>
      <c r="D16" s="66">
        <f>+'IPR Data'!C18/1000</f>
        <v>1140.9999700000003</v>
      </c>
      <c r="E16" s="66">
        <f>+'IPR Data'!D18/1000</f>
        <v>1174.99999</v>
      </c>
      <c r="F16" s="66"/>
      <c r="G16" s="66"/>
      <c r="H16" s="66"/>
      <c r="I16" s="66"/>
      <c r="J16" s="66"/>
      <c r="K16" s="66"/>
      <c r="L16" s="66"/>
      <c r="M16" s="66"/>
      <c r="N16" s="6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63" t="s">
        <v>0</v>
      </c>
      <c r="B17" s="154" t="s">
        <v>13</v>
      </c>
      <c r="C17" s="1" t="s">
        <v>76</v>
      </c>
      <c r="D17" s="66">
        <f>+'IPR Data'!C22/1000</f>
        <v>3099.9999800000001</v>
      </c>
      <c r="E17" s="66">
        <f>+'IPR Data'!D22/1000</f>
        <v>3099.9999800000001</v>
      </c>
      <c r="F17" s="66"/>
      <c r="G17" s="66"/>
      <c r="H17" s="66"/>
      <c r="I17" s="66"/>
      <c r="J17" s="66"/>
      <c r="K17" s="66"/>
      <c r="L17" s="66"/>
      <c r="M17" s="66"/>
      <c r="N17" s="6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3" t="s">
        <v>0</v>
      </c>
      <c r="B18" s="154" t="s">
        <v>13</v>
      </c>
      <c r="C18" s="1" t="s">
        <v>77</v>
      </c>
      <c r="D18" s="66">
        <f>+'Modeling results'!B22</f>
        <v>1402.2494783968516</v>
      </c>
      <c r="E18" s="66">
        <f>+'Modeling results'!C22</f>
        <v>2578.7556266264241</v>
      </c>
      <c r="F18" s="66"/>
      <c r="G18" s="66"/>
      <c r="H18" s="66"/>
      <c r="I18" s="66"/>
      <c r="J18" s="66"/>
      <c r="K18" s="66"/>
      <c r="L18" s="66"/>
      <c r="M18" s="66"/>
      <c r="N18" s="6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63" t="s">
        <v>0</v>
      </c>
      <c r="B19" s="154" t="s">
        <v>13</v>
      </c>
      <c r="C19" s="1" t="s">
        <v>14</v>
      </c>
      <c r="D19" s="66">
        <f>+'Modeling results'!B13</f>
        <v>0</v>
      </c>
      <c r="E19" s="66">
        <f>+'Modeling results'!C13</f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3" t="s">
        <v>0</v>
      </c>
      <c r="B20" s="154" t="s">
        <v>13</v>
      </c>
      <c r="C20" s="1" t="s">
        <v>78</v>
      </c>
      <c r="D20" s="66">
        <f>+'Modeling results'!B12+'Modeling results'!B14</f>
        <v>87590</v>
      </c>
      <c r="E20" s="66">
        <f>+'Modeling results'!C12+'Modeling results'!C14</f>
        <v>85129</v>
      </c>
      <c r="F20" s="66"/>
      <c r="G20" s="66"/>
      <c r="H20" s="66"/>
      <c r="I20" s="66"/>
      <c r="J20" s="66"/>
      <c r="K20" s="66"/>
      <c r="L20" s="66"/>
      <c r="M20" s="66"/>
      <c r="N20" s="6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63" t="s">
        <v>0</v>
      </c>
      <c r="B21" s="154" t="s">
        <v>13</v>
      </c>
      <c r="C21" s="1" t="s">
        <v>15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63" t="s">
        <v>0</v>
      </c>
      <c r="B22" s="154" t="s">
        <v>16</v>
      </c>
      <c r="C22" s="1" t="s">
        <v>79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>
      <c r="A23" s="63" t="s">
        <v>0</v>
      </c>
      <c r="B23" s="154" t="s">
        <v>16</v>
      </c>
      <c r="C23" s="1" t="s">
        <v>80</v>
      </c>
      <c r="D23" s="66">
        <v>0</v>
      </c>
      <c r="E23" s="66">
        <v>0</v>
      </c>
      <c r="F23" s="66"/>
      <c r="G23" s="66"/>
      <c r="H23" s="66"/>
      <c r="I23" s="66"/>
      <c r="J23" s="66"/>
      <c r="K23" s="66"/>
      <c r="L23" s="66"/>
      <c r="M23" s="66"/>
      <c r="N23" s="6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63" t="s">
        <v>0</v>
      </c>
      <c r="B24" s="154" t="s">
        <v>16</v>
      </c>
      <c r="C24" s="1" t="s">
        <v>81</v>
      </c>
      <c r="D24" s="66">
        <v>0</v>
      </c>
      <c r="E24" s="66">
        <v>0</v>
      </c>
      <c r="F24" s="66"/>
      <c r="G24" s="66"/>
      <c r="H24" s="66"/>
      <c r="I24" s="66"/>
      <c r="J24" s="66"/>
      <c r="K24" s="66"/>
      <c r="L24" s="66"/>
      <c r="M24" s="66"/>
      <c r="N24" s="6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63" t="s">
        <v>0</v>
      </c>
      <c r="B25" s="154" t="s">
        <v>16</v>
      </c>
      <c r="C25" s="1" t="s">
        <v>17</v>
      </c>
      <c r="D25" s="66">
        <f>+'REP staff costs'!F8/1000</f>
        <v>464.32026251520006</v>
      </c>
      <c r="E25" s="66">
        <f>+'REP staff costs'!G8/1000</f>
        <v>425.9064630911999</v>
      </c>
      <c r="F25" s="66"/>
      <c r="G25" s="66"/>
      <c r="H25" s="66"/>
      <c r="I25" s="66"/>
      <c r="J25" s="66"/>
      <c r="K25" s="66"/>
      <c r="L25" s="66"/>
      <c r="M25" s="66"/>
      <c r="N25" s="6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62" customFormat="1">
      <c r="A26" s="67" t="s">
        <v>0</v>
      </c>
      <c r="B26" s="340" t="s">
        <v>16</v>
      </c>
      <c r="C26" s="68" t="s">
        <v>130</v>
      </c>
      <c r="D26" s="66">
        <v>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63" t="s">
        <v>0</v>
      </c>
      <c r="B27" s="154" t="s">
        <v>18</v>
      </c>
      <c r="C27" s="1" t="s">
        <v>82</v>
      </c>
      <c r="D27" s="66">
        <f>+'IPR Data'!C51/1000*'R&amp;D split'!$E$6</f>
        <v>0</v>
      </c>
      <c r="E27" s="66">
        <f>+'IPR Data'!D51/1000*'R&amp;D split'!$E$6</f>
        <v>0</v>
      </c>
      <c r="F27" s="66"/>
      <c r="G27" s="66"/>
      <c r="H27" s="66"/>
      <c r="I27" s="66"/>
      <c r="J27" s="66"/>
      <c r="K27" s="66"/>
      <c r="L27" s="66"/>
      <c r="M27" s="66"/>
      <c r="N27" s="6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63" t="s">
        <v>0</v>
      </c>
      <c r="B28" s="154" t="s">
        <v>18</v>
      </c>
      <c r="C28" s="1" t="s">
        <v>83</v>
      </c>
      <c r="D28" s="66">
        <f>+'IPR Data'!C26/1000-'Modeling results'!B22</f>
        <v>33015.750541603142</v>
      </c>
      <c r="E28" s="66">
        <f>+'IPR Data'!D26/1000-'Modeling results'!C22</f>
        <v>26888.24441337357</v>
      </c>
      <c r="F28" s="224"/>
      <c r="G28" s="224"/>
      <c r="H28" s="224"/>
      <c r="I28" s="224"/>
      <c r="J28" s="224"/>
      <c r="K28" s="224"/>
      <c r="L28" s="224"/>
      <c r="M28" s="224"/>
      <c r="N28" s="6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63" t="s">
        <v>0</v>
      </c>
      <c r="B29" s="154" t="s">
        <v>18</v>
      </c>
      <c r="C29" s="323" t="s">
        <v>566</v>
      </c>
      <c r="D29" s="66">
        <f>+'IPR Data'!C27/1000</f>
        <v>27300.000020000003</v>
      </c>
      <c r="E29" s="66">
        <f>+'IPR Data'!D27/1000</f>
        <v>27299.999979999997</v>
      </c>
      <c r="F29" s="66"/>
      <c r="G29" s="66"/>
      <c r="H29" s="66"/>
      <c r="I29" s="66"/>
      <c r="J29" s="66"/>
      <c r="K29" s="66"/>
      <c r="L29" s="66"/>
      <c r="M29" s="66"/>
      <c r="N29" s="6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63" t="s">
        <v>0</v>
      </c>
      <c r="B30" s="154" t="s">
        <v>18</v>
      </c>
      <c r="C30" s="1" t="s">
        <v>19</v>
      </c>
      <c r="D30" s="66">
        <f>+'IPR Data'!C51/1000*'R&amp;D split'!$D$7</f>
        <v>1569.7966038461539</v>
      </c>
      <c r="E30" s="66">
        <f>+'IPR Data'!D51/1000*'R&amp;D split'!$D$7</f>
        <v>1569.7966038461539</v>
      </c>
      <c r="F30" s="66"/>
      <c r="G30" s="66"/>
      <c r="H30" s="66"/>
      <c r="I30" s="66"/>
      <c r="J30" s="66"/>
      <c r="K30" s="66"/>
      <c r="L30" s="66"/>
      <c r="M30" s="66"/>
      <c r="N30" s="6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63" t="s">
        <v>0</v>
      </c>
      <c r="B31" s="154" t="s">
        <v>18</v>
      </c>
      <c r="C31" s="1" t="s">
        <v>494</v>
      </c>
      <c r="D31" s="66">
        <f>+'IPR Data'!C33/1000</f>
        <v>215</v>
      </c>
      <c r="E31" s="66">
        <f>+'IPR Data'!D33/1000</f>
        <v>215</v>
      </c>
      <c r="F31" s="66"/>
      <c r="G31" s="66"/>
      <c r="H31" s="66"/>
      <c r="I31" s="66"/>
      <c r="J31" s="66"/>
      <c r="K31" s="66"/>
      <c r="L31" s="66"/>
      <c r="M31" s="66"/>
      <c r="N31" s="6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63" t="s">
        <v>0</v>
      </c>
      <c r="B32" s="154" t="s">
        <v>18</v>
      </c>
      <c r="C32" s="1" t="s">
        <v>20</v>
      </c>
      <c r="D32" s="66">
        <f>+'IPR Data'!C32/1000</f>
        <v>67356.79999</v>
      </c>
      <c r="E32" s="66">
        <f>+'IPR Data'!D32/1000</f>
        <v>67356.79999</v>
      </c>
      <c r="F32" s="66"/>
      <c r="G32" s="66"/>
      <c r="H32" s="66"/>
      <c r="I32" s="66"/>
      <c r="J32" s="66"/>
      <c r="K32" s="66"/>
      <c r="L32" s="66"/>
      <c r="M32" s="66"/>
      <c r="N32" s="6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63" t="s">
        <v>0</v>
      </c>
      <c r="B33" s="154" t="s">
        <v>18</v>
      </c>
      <c r="C33" s="1" t="s">
        <v>84</v>
      </c>
      <c r="D33" s="66">
        <f>+'IPR Data'!C31/1000</f>
        <v>6005.0000000000009</v>
      </c>
      <c r="E33" s="66">
        <f>+'IPR Data'!D31/1000</f>
        <v>6005.0000000000009</v>
      </c>
      <c r="F33" s="66"/>
      <c r="G33" s="66"/>
      <c r="H33" s="66"/>
      <c r="I33" s="66"/>
      <c r="J33" s="66"/>
      <c r="K33" s="66"/>
      <c r="L33" s="66"/>
      <c r="M33" s="66"/>
      <c r="N33" s="6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63" t="s">
        <v>0</v>
      </c>
      <c r="B34" s="154" t="s">
        <v>18</v>
      </c>
      <c r="C34" s="1" t="s">
        <v>85</v>
      </c>
      <c r="D34" s="66">
        <f>+'IPR Data'!C30/1000</f>
        <v>7999.9999900000003</v>
      </c>
      <c r="E34" s="66">
        <f>+'IPR Data'!D30/1000</f>
        <v>7999.9999900000003</v>
      </c>
      <c r="F34" s="66"/>
      <c r="G34" s="66"/>
      <c r="H34" s="66"/>
      <c r="I34" s="66"/>
      <c r="J34" s="66"/>
      <c r="K34" s="66"/>
      <c r="L34" s="66"/>
      <c r="M34" s="66"/>
      <c r="N34" s="6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63" t="s">
        <v>0</v>
      </c>
      <c r="B35" s="154" t="s">
        <v>18</v>
      </c>
      <c r="C35" s="1" t="s">
        <v>21</v>
      </c>
      <c r="D35" s="66">
        <f>+'IPR Data'!C28/1000</f>
        <v>589.99999000000003</v>
      </c>
      <c r="E35" s="66">
        <f>+'IPR Data'!D28/1000</f>
        <v>589.99999000000003</v>
      </c>
      <c r="F35" s="66"/>
      <c r="G35" s="66"/>
      <c r="H35" s="66"/>
      <c r="I35" s="66"/>
      <c r="J35" s="66"/>
      <c r="K35" s="66"/>
      <c r="L35" s="66"/>
      <c r="M35" s="66"/>
      <c r="N35" s="6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63" t="s">
        <v>0</v>
      </c>
      <c r="B36" s="154" t="s">
        <v>18</v>
      </c>
      <c r="C36" s="1" t="s">
        <v>22</v>
      </c>
      <c r="D36" s="66">
        <f>+'IPR Data'!C29/1000</f>
        <v>11800.00001</v>
      </c>
      <c r="E36" s="66">
        <f>+'IPR Data'!D29/1000</f>
        <v>11800.00001</v>
      </c>
      <c r="F36" s="66"/>
      <c r="G36" s="66"/>
      <c r="H36" s="66"/>
      <c r="I36" s="66"/>
      <c r="J36" s="66"/>
      <c r="K36" s="66"/>
      <c r="L36" s="66"/>
      <c r="M36" s="66"/>
      <c r="N36" s="6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63" t="s">
        <v>0</v>
      </c>
      <c r="B37" s="154" t="s">
        <v>23</v>
      </c>
      <c r="C37" s="1" t="s">
        <v>86</v>
      </c>
      <c r="D37" s="66">
        <f>+'Modeling results'!B17</f>
        <v>79322.516999999993</v>
      </c>
      <c r="E37" s="66">
        <f>+'Modeling results'!C17</f>
        <v>76007.516999999993</v>
      </c>
      <c r="F37" s="66"/>
      <c r="G37" s="66"/>
      <c r="H37" s="66"/>
      <c r="I37" s="66"/>
      <c r="J37" s="66"/>
      <c r="K37" s="66"/>
      <c r="L37" s="66"/>
      <c r="M37" s="66"/>
      <c r="N37" s="6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63" t="s">
        <v>0</v>
      </c>
      <c r="B38" s="154" t="s">
        <v>23</v>
      </c>
      <c r="C38" s="1" t="s">
        <v>87</v>
      </c>
      <c r="D38" s="66">
        <f>+'Modeling results'!B18</f>
        <v>32028.483</v>
      </c>
      <c r="E38" s="66">
        <f>+'Modeling results'!C18</f>
        <v>32028.483</v>
      </c>
      <c r="F38" s="66"/>
      <c r="G38" s="66"/>
      <c r="H38" s="66"/>
      <c r="I38" s="66"/>
      <c r="J38" s="66"/>
      <c r="K38" s="66"/>
      <c r="L38" s="66"/>
      <c r="M38" s="66"/>
      <c r="N38" s="6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63" t="s">
        <v>0</v>
      </c>
      <c r="B39" s="154" t="s">
        <v>23</v>
      </c>
      <c r="C39" s="1" t="s">
        <v>24</v>
      </c>
      <c r="D39" s="66">
        <f>+'IPR Data'!C37/1000</f>
        <v>81853.839000000007</v>
      </c>
      <c r="E39" s="66">
        <f>+'IPR Data'!D37/1000</f>
        <v>83243.104990000007</v>
      </c>
      <c r="F39" s="66"/>
      <c r="G39" s="66"/>
      <c r="H39" s="66"/>
      <c r="I39" s="66"/>
      <c r="J39" s="66"/>
      <c r="K39" s="66"/>
      <c r="L39" s="66"/>
      <c r="M39" s="66"/>
      <c r="N39" s="6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63" t="s">
        <v>0</v>
      </c>
      <c r="B40" s="154" t="s">
        <v>23</v>
      </c>
      <c r="C40" s="1" t="s">
        <v>88</v>
      </c>
      <c r="D40" s="66">
        <f>+'IPR Data'!C40/1000</f>
        <v>3299.9999899999998</v>
      </c>
      <c r="E40" s="66">
        <f>+'IPR Data'!D40/1000</f>
        <v>3299.9999899999998</v>
      </c>
      <c r="F40" s="66"/>
      <c r="G40" s="66"/>
      <c r="H40" s="66"/>
      <c r="I40" s="66"/>
      <c r="J40" s="66"/>
      <c r="K40" s="66"/>
      <c r="L40" s="66"/>
      <c r="M40" s="66"/>
      <c r="N40" s="6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63" t="s">
        <v>0</v>
      </c>
      <c r="B41" s="154" t="s">
        <v>23</v>
      </c>
      <c r="C41" s="1" t="s">
        <v>89</v>
      </c>
      <c r="D41" s="156">
        <f>+'Modeling results'!B28</f>
        <v>14723</v>
      </c>
      <c r="E41" s="156">
        <f>+'Modeling results'!C28</f>
        <v>14809</v>
      </c>
      <c r="F41" s="66"/>
      <c r="G41" s="66"/>
      <c r="H41" s="66"/>
      <c r="I41" s="66"/>
      <c r="J41" s="66"/>
      <c r="K41" s="66"/>
      <c r="L41" s="66"/>
      <c r="M41" s="66"/>
      <c r="N41" s="6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63" t="s">
        <v>0</v>
      </c>
      <c r="B42" s="154" t="s">
        <v>23</v>
      </c>
      <c r="C42" s="1" t="s">
        <v>90</v>
      </c>
      <c r="D42" s="66">
        <v>0</v>
      </c>
      <c r="E42" s="66">
        <v>0</v>
      </c>
      <c r="F42" s="66"/>
      <c r="G42" s="66"/>
      <c r="H42" s="66"/>
      <c r="I42" s="66"/>
      <c r="J42" s="66"/>
      <c r="K42" s="66"/>
      <c r="L42" s="66"/>
      <c r="M42" s="66"/>
      <c r="N42" s="6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63" t="s">
        <v>0</v>
      </c>
      <c r="B43" s="154" t="s">
        <v>23</v>
      </c>
      <c r="C43" s="154" t="s">
        <v>762</v>
      </c>
      <c r="D43" s="66">
        <v>0</v>
      </c>
      <c r="E43" s="66">
        <v>0</v>
      </c>
      <c r="F43" s="66"/>
      <c r="G43" s="66"/>
      <c r="H43" s="66"/>
      <c r="I43" s="66"/>
      <c r="J43" s="66"/>
      <c r="K43" s="66"/>
      <c r="L43" s="66"/>
      <c r="M43" s="66"/>
      <c r="N43" s="6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63" t="s">
        <v>0</v>
      </c>
      <c r="B44" s="154" t="s">
        <v>23</v>
      </c>
      <c r="C44" s="154" t="s">
        <v>761</v>
      </c>
      <c r="D44" s="66">
        <v>0</v>
      </c>
      <c r="E44" s="66">
        <v>0</v>
      </c>
      <c r="F44" s="66"/>
      <c r="G44" s="66"/>
      <c r="H44" s="66"/>
      <c r="I44" s="66"/>
      <c r="J44" s="66"/>
      <c r="K44" s="66"/>
      <c r="L44" s="66"/>
      <c r="M44" s="66"/>
      <c r="N44" s="6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63" t="s">
        <v>25</v>
      </c>
      <c r="B45" s="154" t="s">
        <v>26</v>
      </c>
      <c r="C45" s="1" t="s">
        <v>27</v>
      </c>
      <c r="D45" s="66">
        <v>0</v>
      </c>
      <c r="E45" s="66">
        <v>0</v>
      </c>
      <c r="F45" s="66"/>
      <c r="G45" s="66"/>
      <c r="H45" s="66"/>
      <c r="I45" s="66"/>
      <c r="J45" s="66"/>
      <c r="K45" s="66"/>
      <c r="L45" s="66"/>
      <c r="M45" s="66"/>
      <c r="N45" s="6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63" t="s">
        <v>25</v>
      </c>
      <c r="B46" s="154" t="s">
        <v>26</v>
      </c>
      <c r="C46" s="1" t="s">
        <v>28</v>
      </c>
      <c r="D46" s="66">
        <f>+'IPR Data'!C50/1000</f>
        <v>3804.0749999999998</v>
      </c>
      <c r="E46" s="66">
        <f>+'IPR Data'!D50/1000</f>
        <v>3780.2119200000002</v>
      </c>
      <c r="F46" s="66"/>
      <c r="G46" s="66"/>
      <c r="H46" s="66"/>
      <c r="I46" s="66"/>
      <c r="J46" s="66"/>
      <c r="K46" s="66"/>
      <c r="L46" s="66"/>
      <c r="M46" s="66"/>
      <c r="N46" s="6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63" t="s">
        <v>25</v>
      </c>
      <c r="B47" s="154" t="s">
        <v>26</v>
      </c>
      <c r="C47" s="1" t="s">
        <v>91</v>
      </c>
      <c r="D47" s="66">
        <f>+'IPR Data'!C43/1000</f>
        <v>3946.6075999999994</v>
      </c>
      <c r="E47" s="66">
        <f>+'IPR Data'!D43/1000</f>
        <v>4035.1445300000005</v>
      </c>
      <c r="F47" s="66"/>
      <c r="G47" s="66"/>
      <c r="H47" s="66"/>
      <c r="I47" s="66"/>
      <c r="J47" s="66"/>
      <c r="K47" s="66"/>
      <c r="L47" s="66"/>
      <c r="M47" s="66"/>
      <c r="N47" s="6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63" t="s">
        <v>25</v>
      </c>
      <c r="B48" s="154" t="s">
        <v>26</v>
      </c>
      <c r="C48" s="1" t="s">
        <v>92</v>
      </c>
      <c r="D48" s="66">
        <v>0</v>
      </c>
      <c r="E48" s="66">
        <v>0</v>
      </c>
      <c r="F48" s="66"/>
      <c r="G48" s="66"/>
      <c r="H48" s="66"/>
      <c r="I48" s="66"/>
      <c r="J48" s="66"/>
      <c r="K48" s="66"/>
      <c r="L48" s="66"/>
      <c r="M48" s="66"/>
      <c r="N48" s="6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63" t="s">
        <v>25</v>
      </c>
      <c r="B49" s="154" t="s">
        <v>26</v>
      </c>
      <c r="C49" s="1" t="s">
        <v>29</v>
      </c>
      <c r="D49" s="66">
        <f>+'IPR Data'!C46/1000</f>
        <v>970.73577</v>
      </c>
      <c r="E49" s="66">
        <f>+'IPR Data'!D46/1000</f>
        <v>1002.9357400000002</v>
      </c>
      <c r="F49" s="66"/>
      <c r="G49" s="66"/>
      <c r="H49" s="66"/>
      <c r="I49" s="66"/>
      <c r="J49" s="66"/>
      <c r="K49" s="66"/>
      <c r="L49" s="66"/>
      <c r="M49" s="66"/>
      <c r="N49" s="6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63" t="s">
        <v>25</v>
      </c>
      <c r="B50" s="154" t="s">
        <v>30</v>
      </c>
      <c r="C50" s="1" t="s">
        <v>31</v>
      </c>
      <c r="D50" s="66">
        <f>+'IPR Data'!C44/1000</f>
        <v>9600.4215700000004</v>
      </c>
      <c r="E50" s="66">
        <f>+'IPR Data'!D44/1000</f>
        <v>9910.2807300000022</v>
      </c>
      <c r="F50" s="66"/>
      <c r="G50" s="66"/>
      <c r="H50" s="66"/>
      <c r="I50" s="66"/>
      <c r="J50" s="66"/>
      <c r="K50" s="66"/>
      <c r="L50" s="66"/>
      <c r="M50" s="66"/>
      <c r="N50" s="6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63" t="s">
        <v>25</v>
      </c>
      <c r="B51" s="154" t="s">
        <v>30</v>
      </c>
      <c r="C51" s="1" t="s">
        <v>32</v>
      </c>
      <c r="D51" s="66">
        <f>+'IPR Data'!C45/1000</f>
        <v>8708.0346599999993</v>
      </c>
      <c r="E51" s="66">
        <f>+'IPR Data'!D45/1000</f>
        <v>9006.2328600000019</v>
      </c>
      <c r="F51" s="66"/>
      <c r="G51" s="66"/>
      <c r="H51" s="66"/>
      <c r="I51" s="66"/>
      <c r="J51" s="66"/>
      <c r="K51" s="66"/>
      <c r="L51" s="66"/>
      <c r="M51" s="66"/>
      <c r="N51" s="6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63" t="s">
        <v>25</v>
      </c>
      <c r="B52" s="154" t="s">
        <v>33</v>
      </c>
      <c r="C52" s="1" t="s">
        <v>93</v>
      </c>
      <c r="D52" s="66">
        <f>(+'IPR Data'!C47+'IPR Data'!C57+'IPR Data'!C58)/1000</f>
        <v>15172.283950000001</v>
      </c>
      <c r="E52" s="66">
        <f>(+'IPR Data'!D47+'IPR Data'!D57+'IPR Data'!D58)/1000</f>
        <v>15563.29126</v>
      </c>
      <c r="F52" s="66"/>
      <c r="G52" s="66"/>
      <c r="H52" s="66"/>
      <c r="I52" s="66"/>
      <c r="J52" s="66"/>
      <c r="K52" s="66"/>
      <c r="L52" s="66"/>
      <c r="M52" s="66"/>
      <c r="N52" s="6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63" t="s">
        <v>25</v>
      </c>
      <c r="B53" s="154" t="s">
        <v>33</v>
      </c>
      <c r="C53" s="1" t="s">
        <v>34</v>
      </c>
      <c r="D53" s="66">
        <f>+'IPR Data'!C48/1000</f>
        <v>3566.4117900000006</v>
      </c>
      <c r="E53" s="66">
        <f>+'IPR Data'!D48/1000</f>
        <v>3678.9791700000001</v>
      </c>
      <c r="F53" s="66"/>
      <c r="G53" s="66"/>
      <c r="H53" s="66"/>
      <c r="I53" s="66"/>
      <c r="J53" s="66"/>
      <c r="K53" s="66"/>
      <c r="L53" s="66"/>
      <c r="M53" s="66"/>
      <c r="N53" s="6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63" t="s">
        <v>25</v>
      </c>
      <c r="B54" s="154" t="s">
        <v>33</v>
      </c>
      <c r="C54" s="1" t="s">
        <v>94</v>
      </c>
      <c r="D54" s="66">
        <f>+'IPR Data'!C49/1000</f>
        <v>6672.2347099999979</v>
      </c>
      <c r="E54" s="66">
        <f>+'IPR Data'!D49/1000</f>
        <v>6885.5115299999952</v>
      </c>
      <c r="F54" s="66"/>
      <c r="G54" s="66"/>
      <c r="H54" s="66"/>
      <c r="I54" s="66"/>
      <c r="J54" s="66"/>
      <c r="K54" s="66"/>
      <c r="L54" s="66"/>
      <c r="M54" s="66"/>
      <c r="N54" s="6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63" t="s">
        <v>25</v>
      </c>
      <c r="B55" s="154" t="s">
        <v>33</v>
      </c>
      <c r="C55" s="1" t="s">
        <v>35</v>
      </c>
      <c r="D55" s="66">
        <f>(+'IPR Data'!C42+'IPR Data'!C59)/1000</f>
        <v>7876.0467600000011</v>
      </c>
      <c r="E55" s="66">
        <f>(+'IPR Data'!D42+'IPR Data'!D59)/1000</f>
        <v>8130.5899800000016</v>
      </c>
      <c r="F55" s="66"/>
      <c r="G55" s="66"/>
      <c r="H55" s="66"/>
      <c r="I55" s="66"/>
      <c r="J55" s="66"/>
      <c r="K55" s="66"/>
      <c r="L55" s="66"/>
      <c r="M55" s="66"/>
      <c r="N55" s="6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63" t="s">
        <v>25</v>
      </c>
      <c r="B56" s="154" t="s">
        <v>33</v>
      </c>
      <c r="C56" s="1" t="s">
        <v>573</v>
      </c>
      <c r="D56" s="66">
        <f>+'IPR Data'!C51/1000-'cost table'!D30</f>
        <v>956.82840615384589</v>
      </c>
      <c r="E56" s="66">
        <f>+'IPR Data'!D51/1000-'cost table'!E30</f>
        <v>956.82840615384589</v>
      </c>
      <c r="F56" s="66"/>
      <c r="G56" s="66"/>
      <c r="H56" s="66"/>
      <c r="I56" s="66"/>
      <c r="J56" s="66"/>
      <c r="K56" s="66"/>
      <c r="L56" s="66"/>
      <c r="M56" s="66"/>
      <c r="N56" s="6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63" t="s">
        <v>25</v>
      </c>
      <c r="B57" s="154" t="s">
        <v>33</v>
      </c>
      <c r="C57" s="154" t="s">
        <v>736</v>
      </c>
      <c r="D57" s="66">
        <f>SUM('IPR Data'!C52:C53)/1000</f>
        <v>2222.5934300000004</v>
      </c>
      <c r="E57" s="66">
        <f>SUM('IPR Data'!D52:D53)/1000</f>
        <v>2284.9362700000011</v>
      </c>
      <c r="F57" s="66"/>
      <c r="G57" s="66"/>
      <c r="H57" s="66"/>
      <c r="I57" s="66"/>
      <c r="J57" s="66"/>
      <c r="K57" s="66"/>
      <c r="L57" s="66"/>
      <c r="M57" s="66"/>
      <c r="N57" s="6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63" t="s">
        <v>25</v>
      </c>
      <c r="B58" s="154" t="s">
        <v>33</v>
      </c>
      <c r="C58" s="154" t="s">
        <v>737</v>
      </c>
      <c r="D58" s="66">
        <f>SUM('IPR Data'!C54:C56)/1000-D25</f>
        <v>13976.424717484808</v>
      </c>
      <c r="E58" s="66">
        <f>SUM('IPR Data'!D54:D56)/1000-E25</f>
        <v>14825.089606908799</v>
      </c>
      <c r="F58" s="66"/>
      <c r="G58" s="66"/>
      <c r="H58" s="66"/>
      <c r="I58" s="66"/>
      <c r="J58" s="66"/>
      <c r="K58" s="66"/>
      <c r="L58" s="66"/>
      <c r="M58" s="66"/>
      <c r="N58" s="6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63" t="s">
        <v>25</v>
      </c>
      <c r="B59" s="154" t="s">
        <v>33</v>
      </c>
      <c r="C59" s="154" t="s">
        <v>760</v>
      </c>
      <c r="D59" s="66">
        <v>0</v>
      </c>
      <c r="E59" s="66">
        <v>0</v>
      </c>
      <c r="F59" s="66"/>
      <c r="G59" s="66"/>
      <c r="H59" s="66"/>
      <c r="I59" s="66"/>
      <c r="J59" s="66"/>
      <c r="K59" s="66"/>
      <c r="L59" s="66"/>
      <c r="M59" s="66"/>
      <c r="N59" s="6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63" t="s">
        <v>25</v>
      </c>
      <c r="B60" s="154" t="s">
        <v>36</v>
      </c>
      <c r="C60" s="1" t="s">
        <v>95</v>
      </c>
      <c r="D60" s="66">
        <f>+'IPR Data'!C63/1000</f>
        <v>247507.73906999978</v>
      </c>
      <c r="E60" s="66">
        <f>+'IPR Data'!D63/1000</f>
        <v>247195.59134999965</v>
      </c>
      <c r="F60" s="66"/>
      <c r="G60" s="66"/>
      <c r="H60" s="66"/>
      <c r="I60" s="66"/>
      <c r="J60" s="66"/>
      <c r="K60" s="66"/>
      <c r="L60" s="66"/>
      <c r="M60" s="66"/>
      <c r="N60" s="6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63" t="s">
        <v>25</v>
      </c>
      <c r="B61" s="154" t="s">
        <v>36</v>
      </c>
      <c r="C61" s="1" t="s">
        <v>37</v>
      </c>
      <c r="D61" s="66">
        <f>+'IPR Data'!C61/1000</f>
        <v>33000</v>
      </c>
      <c r="E61" s="66">
        <f>+'IPR Data'!D61/1000</f>
        <v>29000</v>
      </c>
      <c r="F61" s="66"/>
      <c r="G61" s="66"/>
      <c r="H61" s="66"/>
      <c r="I61" s="66"/>
      <c r="J61" s="66"/>
      <c r="K61" s="66"/>
      <c r="L61" s="66"/>
      <c r="M61" s="66"/>
      <c r="N61" s="6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63" t="s">
        <v>25</v>
      </c>
      <c r="B62" s="154" t="s">
        <v>36</v>
      </c>
      <c r="C62" s="1" t="s">
        <v>38</v>
      </c>
      <c r="D62" s="66">
        <f>+'IPR Data'!C62/1000</f>
        <v>11942</v>
      </c>
      <c r="E62" s="66">
        <f>+'IPR Data'!D62/1000</f>
        <v>12431</v>
      </c>
      <c r="F62" s="66"/>
      <c r="G62" s="66"/>
      <c r="H62" s="66"/>
      <c r="I62" s="66"/>
      <c r="J62" s="66"/>
      <c r="K62" s="66"/>
      <c r="L62" s="66"/>
      <c r="M62" s="66"/>
      <c r="N62" s="6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63" t="s">
        <v>25</v>
      </c>
      <c r="B63" s="154" t="s">
        <v>40</v>
      </c>
      <c r="C63" s="1" t="s">
        <v>41</v>
      </c>
      <c r="D63" s="66">
        <f>+'IPR Data'!C65/1000</f>
        <v>18665.833019999998</v>
      </c>
      <c r="E63" s="66">
        <f>+'IPR Data'!D65/1000</f>
        <v>19353.932990000001</v>
      </c>
      <c r="F63" s="66"/>
      <c r="G63" s="66"/>
      <c r="H63" s="66"/>
      <c r="I63" s="66"/>
      <c r="J63" s="66"/>
      <c r="K63" s="66"/>
      <c r="L63" s="66"/>
      <c r="M63" s="66"/>
      <c r="N63" s="6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323" customFormat="1">
      <c r="A64" s="69" t="s">
        <v>25</v>
      </c>
      <c r="B64" s="154" t="s">
        <v>40</v>
      </c>
      <c r="C64" s="1" t="s">
        <v>96</v>
      </c>
      <c r="D64" s="66">
        <f>(+'IPR Data'!C66+'IPR Data'!C67+'IPR Data'!C68+'IPR Data'!C69+'IPR Data'!C70)/1000-'cost table'!D66</f>
        <v>44521.752466661259</v>
      </c>
      <c r="E64" s="66">
        <f>(+'IPR Data'!D66+'IPR Data'!D67+'IPR Data'!D68+'IPR Data'!D69+'IPR Data'!D70)/1000-'cost table'!E66</f>
        <v>44908.915366590591</v>
      </c>
      <c r="F64" s="66"/>
      <c r="G64" s="66"/>
      <c r="H64" s="66"/>
      <c r="I64" s="66"/>
      <c r="J64" s="66"/>
      <c r="K64" s="66"/>
      <c r="L64" s="66"/>
      <c r="M64" s="66"/>
      <c r="N64" s="6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7" s="323" customFormat="1">
      <c r="A65" s="69" t="s">
        <v>25</v>
      </c>
      <c r="B65" s="154" t="s">
        <v>40</v>
      </c>
      <c r="C65" s="1" t="s">
        <v>570</v>
      </c>
      <c r="D65" s="66">
        <f>+'IPR Data'!C71/1000</f>
        <v>11720.04938</v>
      </c>
      <c r="E65" s="66">
        <f>+'IPR Data'!D71/1000</f>
        <v>11783.264930000001</v>
      </c>
      <c r="F65" s="66"/>
      <c r="G65" s="66"/>
      <c r="H65" s="66"/>
      <c r="I65" s="66"/>
      <c r="J65" s="66"/>
      <c r="K65" s="66"/>
      <c r="L65" s="66"/>
      <c r="M65" s="66"/>
      <c r="N65" s="6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7">
      <c r="A66" s="63" t="s">
        <v>25</v>
      </c>
      <c r="B66" s="154" t="s">
        <v>40</v>
      </c>
      <c r="C66" s="1" t="s">
        <v>97</v>
      </c>
      <c r="D66" s="66">
        <f>+'IPR Data'!C72/1000*'EE staffing split'!D15</f>
        <v>10563.337323338721</v>
      </c>
      <c r="E66" s="66">
        <f>+'IPR Data'!D72/1000*'EE staffing split'!E15</f>
        <v>10468.817613409377</v>
      </c>
      <c r="F66" s="66"/>
      <c r="G66" s="66"/>
      <c r="H66" s="66"/>
      <c r="I66" s="66"/>
      <c r="J66" s="66"/>
      <c r="K66" s="66"/>
      <c r="L66" s="66"/>
      <c r="M66" s="66"/>
      <c r="N66" s="6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7">
      <c r="A67" s="63" t="s">
        <v>25</v>
      </c>
      <c r="B67" s="154" t="s">
        <v>42</v>
      </c>
      <c r="C67" s="1" t="s">
        <v>43</v>
      </c>
      <c r="D67" s="157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7">
      <c r="A68" s="63" t="s">
        <v>25</v>
      </c>
      <c r="B68" s="154" t="s">
        <v>42</v>
      </c>
      <c r="C68" s="1" t="s">
        <v>44</v>
      </c>
      <c r="D68" s="157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7">
      <c r="A69" s="63" t="s">
        <v>25</v>
      </c>
      <c r="B69" s="154" t="s">
        <v>42</v>
      </c>
      <c r="C69" s="155" t="s">
        <v>617</v>
      </c>
      <c r="D69" s="66">
        <v>0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>
      <c r="A70" s="63" t="s">
        <v>45</v>
      </c>
      <c r="B70" s="154" t="s">
        <v>46</v>
      </c>
      <c r="C70" s="1" t="s">
        <v>47</v>
      </c>
      <c r="D70" s="66">
        <f>+Depreciation!E5</f>
        <v>4685</v>
      </c>
      <c r="E70" s="66">
        <f>+Depreciation!F5</f>
        <v>4222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2"/>
    </row>
    <row r="71" spans="1:27">
      <c r="A71" s="63" t="s">
        <v>45</v>
      </c>
      <c r="B71" s="154" t="s">
        <v>46</v>
      </c>
      <c r="C71" s="1" t="s">
        <v>48</v>
      </c>
      <c r="D71" s="66">
        <f>+Depreciation!E6</f>
        <v>106932</v>
      </c>
      <c r="E71" s="66">
        <f>+Depreciation!F6</f>
        <v>109967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2"/>
    </row>
    <row r="72" spans="1:27">
      <c r="A72" s="63" t="s">
        <v>45</v>
      </c>
      <c r="B72" s="154" t="s">
        <v>46</v>
      </c>
      <c r="C72" s="1" t="s">
        <v>49</v>
      </c>
      <c r="D72" s="66">
        <f>+Depreciation!E7</f>
        <v>29331.653333333335</v>
      </c>
      <c r="E72" s="66">
        <f>+Depreciation!F7</f>
        <v>29965.653333333335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2"/>
    </row>
    <row r="73" spans="1:27">
      <c r="A73" s="63" t="s">
        <v>45</v>
      </c>
      <c r="B73" s="154" t="s">
        <v>50</v>
      </c>
      <c r="C73" s="1" t="s">
        <v>51</v>
      </c>
      <c r="D73" s="66">
        <f>+Depreciation!E9</f>
        <v>0</v>
      </c>
      <c r="E73" s="66">
        <f>+Depreciation!F9</f>
        <v>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2"/>
    </row>
    <row r="74" spans="1:27">
      <c r="A74" s="63" t="s">
        <v>45</v>
      </c>
      <c r="B74" s="154" t="s">
        <v>50</v>
      </c>
      <c r="C74" s="1" t="s">
        <v>52</v>
      </c>
      <c r="D74" s="66">
        <f>+Depreciation!E11</f>
        <v>42078.384189999982</v>
      </c>
      <c r="E74" s="66">
        <f>+Depreciation!F11</f>
        <v>32975.233590000011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2"/>
    </row>
    <row r="75" spans="1:27">
      <c r="A75" s="63" t="s">
        <v>45</v>
      </c>
      <c r="B75" s="154" t="s">
        <v>50</v>
      </c>
      <c r="C75" s="1" t="s">
        <v>98</v>
      </c>
      <c r="D75" s="66">
        <f>+Depreciation!E12</f>
        <v>18387</v>
      </c>
      <c r="E75" s="66">
        <f>+Depreciation!F12</f>
        <v>18387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2"/>
    </row>
    <row r="76" spans="1:27">
      <c r="A76" s="63" t="s">
        <v>45</v>
      </c>
      <c r="B76" s="154" t="s">
        <v>50</v>
      </c>
      <c r="C76" s="1" t="s">
        <v>572</v>
      </c>
      <c r="D76" s="66">
        <f>+Depreciation!E13</f>
        <v>35275.198857333336</v>
      </c>
      <c r="E76" s="66">
        <f>+Depreciation!F13</f>
        <v>35911.132190666671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2"/>
    </row>
    <row r="77" spans="1:27">
      <c r="A77" s="63" t="s">
        <v>45</v>
      </c>
      <c r="B77" s="154" t="s">
        <v>50</v>
      </c>
      <c r="C77" s="1" t="s">
        <v>618</v>
      </c>
      <c r="D77" s="66">
        <f>+Depreciation!E23</f>
        <v>149004.06309605573</v>
      </c>
      <c r="E77" s="66">
        <f>+Depreciation!F23</f>
        <v>153890.39494765675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2"/>
    </row>
    <row r="78" spans="1:27">
      <c r="A78" s="63" t="s">
        <v>45</v>
      </c>
      <c r="B78" s="154" t="s">
        <v>50</v>
      </c>
      <c r="C78" s="1" t="s">
        <v>672</v>
      </c>
      <c r="D78" s="66">
        <f>+Depreciation!E24</f>
        <v>32754.639175257733</v>
      </c>
      <c r="E78" s="66">
        <f>+Depreciation!F24</f>
        <v>32754.639175257733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2"/>
    </row>
    <row r="79" spans="1:27">
      <c r="A79" s="63" t="s">
        <v>45</v>
      </c>
      <c r="B79" s="154" t="s">
        <v>50</v>
      </c>
      <c r="C79" s="1" t="s">
        <v>673</v>
      </c>
      <c r="D79" s="66">
        <f>+Depreciation!E25</f>
        <v>37637.319587628866</v>
      </c>
      <c r="E79" s="66">
        <f>+Depreciation!F25</f>
        <v>37637.319587628866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2"/>
    </row>
    <row r="80" spans="1:27">
      <c r="A80" s="63" t="s">
        <v>45</v>
      </c>
      <c r="B80" s="154" t="s">
        <v>50</v>
      </c>
      <c r="C80" s="1" t="s">
        <v>620</v>
      </c>
      <c r="D80" s="66">
        <f>+Depreciation!E26</f>
        <v>4108</v>
      </c>
      <c r="E80" s="66">
        <f>+Depreciation!F26</f>
        <v>4108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2"/>
    </row>
    <row r="81" spans="1:27">
      <c r="A81" s="63" t="s">
        <v>45</v>
      </c>
      <c r="B81" s="154" t="s">
        <v>50</v>
      </c>
      <c r="C81" s="1" t="s">
        <v>619</v>
      </c>
      <c r="D81" s="66">
        <f>+Depreciation!E27</f>
        <v>1655.8333333333333</v>
      </c>
      <c r="E81" s="66">
        <f>+Depreciation!F27</f>
        <v>1655.8333333333333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2"/>
    </row>
    <row r="82" spans="1:27">
      <c r="A82" s="63" t="s">
        <v>45</v>
      </c>
      <c r="B82" s="154" t="s">
        <v>50</v>
      </c>
      <c r="C82" s="1" t="s">
        <v>703</v>
      </c>
      <c r="D82" s="66">
        <f>+Depreciation!E29</f>
        <v>36753.702599078257</v>
      </c>
      <c r="E82" s="66">
        <f>+Depreciation!F29</f>
        <v>38362.713615484623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2"/>
    </row>
    <row r="83" spans="1:27">
      <c r="A83" s="63" t="s">
        <v>53</v>
      </c>
      <c r="B83" s="154" t="s">
        <v>54</v>
      </c>
      <c r="C83" s="1" t="s">
        <v>55</v>
      </c>
      <c r="D83" s="66">
        <f>+'Federal Capital Costs'!D5</f>
        <v>38411</v>
      </c>
      <c r="E83" s="66">
        <f>+'Federal Capital Costs'!E5</f>
        <v>38609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2"/>
    </row>
    <row r="84" spans="1:27">
      <c r="A84" s="63" t="s">
        <v>53</v>
      </c>
      <c r="B84" s="154" t="s">
        <v>54</v>
      </c>
      <c r="C84" s="1" t="s">
        <v>56</v>
      </c>
      <c r="D84" s="66">
        <v>-45937</v>
      </c>
      <c r="E84" s="66">
        <f>+D84</f>
        <v>-45937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63" t="s">
        <v>53</v>
      </c>
      <c r="B85" s="154" t="s">
        <v>54</v>
      </c>
      <c r="C85" s="1" t="s">
        <v>57</v>
      </c>
      <c r="D85" s="66">
        <f>+'Federal Capital Costs'!D4+'Federal Capital Costs'!D69</f>
        <v>43986</v>
      </c>
      <c r="E85" s="66">
        <f>+'Federal Capital Costs'!E4+'Federal Capital Costs'!E69</f>
        <v>39113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2"/>
    </row>
    <row r="86" spans="1:27">
      <c r="A86" s="63" t="s">
        <v>53</v>
      </c>
      <c r="B86" s="154" t="s">
        <v>54</v>
      </c>
      <c r="C86" s="1" t="s">
        <v>201</v>
      </c>
      <c r="D86" s="66">
        <f>+'Federal Capital Costs'!D6</f>
        <v>7853.9735706082802</v>
      </c>
      <c r="E86" s="66">
        <f>+'Federal Capital Costs'!E6</f>
        <v>6798.6066230999504</v>
      </c>
      <c r="F86" s="66"/>
      <c r="G86" s="66"/>
      <c r="H86" s="66"/>
      <c r="I86" s="66"/>
      <c r="J86" s="66"/>
      <c r="K86" s="66"/>
      <c r="L86" s="66"/>
      <c r="M86" s="66"/>
      <c r="N86" s="6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63" t="s">
        <v>53</v>
      </c>
      <c r="B87" s="154" t="s">
        <v>54</v>
      </c>
      <c r="C87" s="1" t="s">
        <v>621</v>
      </c>
      <c r="D87" s="66">
        <f>SUM('Non-Federal DS'!F8:F10)</f>
        <v>140096.46199999997</v>
      </c>
      <c r="E87" s="66">
        <f>SUM('Non-Federal DS'!G8:G10)</f>
        <v>133097.98599999998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2"/>
    </row>
    <row r="88" spans="1:27">
      <c r="A88" s="63" t="s">
        <v>53</v>
      </c>
      <c r="B88" s="154" t="s">
        <v>54</v>
      </c>
      <c r="C88" s="1" t="s">
        <v>669</v>
      </c>
      <c r="D88" s="66">
        <f>+'Non-Federal DS'!F7</f>
        <v>38892.256000000001</v>
      </c>
      <c r="E88" s="66">
        <f>+'Non-Federal DS'!G7</f>
        <v>39175.044000000002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2"/>
    </row>
    <row r="89" spans="1:27">
      <c r="A89" s="63" t="s">
        <v>53</v>
      </c>
      <c r="B89" s="154" t="s">
        <v>54</v>
      </c>
      <c r="C89" s="1" t="s">
        <v>668</v>
      </c>
      <c r="D89" s="66">
        <f>+'Non-Federal DS'!F13</f>
        <v>46118.244999999995</v>
      </c>
      <c r="E89" s="66">
        <f>+'Non-Federal DS'!G13</f>
        <v>46192.477000000006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2"/>
    </row>
    <row r="90" spans="1:27">
      <c r="A90" s="63" t="s">
        <v>53</v>
      </c>
      <c r="B90" s="154" t="s">
        <v>54</v>
      </c>
      <c r="C90" s="1" t="s">
        <v>622</v>
      </c>
      <c r="D90" s="66">
        <f>+'Non-Federal DS'!F14</f>
        <v>278.89299999999997</v>
      </c>
      <c r="E90" s="66">
        <f>+'Non-Federal DS'!G14</f>
        <v>195.32300000000001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2"/>
    </row>
    <row r="91" spans="1:27">
      <c r="A91" s="63" t="s">
        <v>53</v>
      </c>
      <c r="B91" s="154" t="s">
        <v>54</v>
      </c>
      <c r="C91" s="1" t="s">
        <v>623</v>
      </c>
      <c r="D91" s="66">
        <f>+'Non-Federal DS'!F15</f>
        <v>3078.6689999999999</v>
      </c>
      <c r="E91" s="66">
        <f>+'Non-Federal DS'!G15</f>
        <v>2867.7190000000001</v>
      </c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2"/>
    </row>
    <row r="92" spans="1:27">
      <c r="A92" s="63" t="s">
        <v>53</v>
      </c>
      <c r="B92" s="154" t="s">
        <v>54</v>
      </c>
      <c r="C92" s="1" t="s">
        <v>680</v>
      </c>
      <c r="D92" s="66">
        <f>+'Federal Capital Costs'!D8</f>
        <v>767</v>
      </c>
      <c r="E92" s="66">
        <f>+'Federal Capital Costs'!E8</f>
        <v>1768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2"/>
    </row>
    <row r="93" spans="1:27">
      <c r="A93" s="63" t="s">
        <v>53</v>
      </c>
      <c r="B93" s="154" t="s">
        <v>54</v>
      </c>
      <c r="C93" s="154" t="s">
        <v>742</v>
      </c>
      <c r="D93" s="66">
        <f>-'Non-Federal DS'!F117</f>
        <v>-7561.5887000000002</v>
      </c>
      <c r="E93" s="66">
        <f>-'Non-Federal DS'!G117</f>
        <v>-7490.78532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2"/>
    </row>
    <row r="94" spans="1:27">
      <c r="A94" s="63" t="s">
        <v>53</v>
      </c>
      <c r="B94" s="154" t="s">
        <v>54</v>
      </c>
      <c r="C94" s="154" t="s">
        <v>745</v>
      </c>
      <c r="D94" s="66">
        <f>+'Non-Federal DS'!F118</f>
        <v>168.60468</v>
      </c>
      <c r="E94" s="66">
        <f>+'Non-Federal DS'!G118</f>
        <v>168.60468</v>
      </c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2"/>
    </row>
    <row r="95" spans="1:27">
      <c r="A95" s="63" t="s">
        <v>53</v>
      </c>
      <c r="B95" s="154" t="s">
        <v>54</v>
      </c>
      <c r="C95" s="154" t="s">
        <v>759</v>
      </c>
      <c r="D95" s="66">
        <v>0</v>
      </c>
      <c r="E95" s="66">
        <v>0</v>
      </c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2"/>
    </row>
    <row r="96" spans="1:27">
      <c r="A96" s="63" t="s">
        <v>53</v>
      </c>
      <c r="B96" s="154" t="s">
        <v>54</v>
      </c>
      <c r="C96" s="1" t="s">
        <v>118</v>
      </c>
      <c r="D96" s="66">
        <f>-[13]AFUDC!L$26</f>
        <v>-11004.91178</v>
      </c>
      <c r="E96" s="66">
        <f>-[13]AFUDC!M$26</f>
        <v>-11469.00268</v>
      </c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2"/>
    </row>
    <row r="97" spans="1:29">
      <c r="A97" s="63" t="s">
        <v>53</v>
      </c>
      <c r="B97" s="154" t="s">
        <v>54</v>
      </c>
      <c r="C97" s="1" t="s">
        <v>58</v>
      </c>
      <c r="D97" s="66">
        <f>+'interest credit calculations'!C9</f>
        <v>-1383.7981947277337</v>
      </c>
      <c r="E97" s="66">
        <f>+'interest credit calculations'!D9</f>
        <v>-1235.2157069272755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>
      <c r="A98" s="63" t="s">
        <v>53</v>
      </c>
      <c r="B98" s="154" t="s">
        <v>54</v>
      </c>
      <c r="C98" s="1" t="s">
        <v>59</v>
      </c>
      <c r="D98" s="66">
        <f>+'interest credit calculations'!C11</f>
        <v>-85.6003523293939</v>
      </c>
      <c r="E98" s="66">
        <f>+'interest credit calculations'!D11</f>
        <v>-188.5781346910137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>
      <c r="A99" s="63" t="s">
        <v>53</v>
      </c>
      <c r="B99" s="154" t="s">
        <v>54</v>
      </c>
      <c r="C99" s="1" t="s">
        <v>706</v>
      </c>
      <c r="D99" s="66">
        <f>+'Income Statement Cash Flows'!E38</f>
        <v>-9857.4198361257986</v>
      </c>
      <c r="E99" s="66">
        <f>+'Income Statement Cash Flows'!F38</f>
        <v>-10198.165340933187</v>
      </c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2"/>
      <c r="AB99" s="2"/>
      <c r="AC99" s="2"/>
    </row>
    <row r="100" spans="1:29">
      <c r="A100" s="63" t="s">
        <v>53</v>
      </c>
      <c r="B100" s="154" t="s">
        <v>54</v>
      </c>
      <c r="C100" s="1" t="s">
        <v>741</v>
      </c>
      <c r="D100" s="66">
        <f>+'Income Statement Cash Flows'!E39</f>
        <v>-3398.7278184283846</v>
      </c>
      <c r="E100" s="66">
        <f>+'Income Statement Cash Flows'!F39</f>
        <v>-3516.2130473672032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2"/>
      <c r="AB100" s="2"/>
      <c r="AC100" s="2"/>
    </row>
    <row r="101" spans="1:29">
      <c r="A101" s="63" t="s">
        <v>53</v>
      </c>
      <c r="B101" s="154" t="s">
        <v>60</v>
      </c>
      <c r="C101" s="1" t="s">
        <v>99</v>
      </c>
      <c r="D101" s="66">
        <f>+COSA!C12</f>
        <v>26159.66324355108</v>
      </c>
      <c r="E101" s="66">
        <f>+COSA!C58</f>
        <v>22707.810101481638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9">
      <c r="A102" s="63" t="s">
        <v>53</v>
      </c>
      <c r="B102" s="154" t="s">
        <v>60</v>
      </c>
      <c r="C102" s="1" t="s">
        <v>100</v>
      </c>
      <c r="D102" s="66">
        <f>+COSA!C13</f>
        <v>3323</v>
      </c>
      <c r="E102" s="66">
        <f>+COSA!C59</f>
        <v>2780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9">
      <c r="A103" s="63" t="s">
        <v>53</v>
      </c>
      <c r="B103" s="154" t="s">
        <v>60</v>
      </c>
      <c r="C103" s="1" t="s">
        <v>101</v>
      </c>
      <c r="D103" s="66">
        <f>+COSA!C30</f>
        <v>2631</v>
      </c>
      <c r="E103" s="66">
        <f>+COSA!C76</f>
        <v>1606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9">
      <c r="A104" s="63" t="s">
        <v>53</v>
      </c>
      <c r="B104" s="154" t="s">
        <v>60</v>
      </c>
      <c r="C104" s="1" t="s">
        <v>102</v>
      </c>
      <c r="D104" s="66">
        <f>+COSA!C33</f>
        <v>493</v>
      </c>
      <c r="E104" s="66">
        <f>+COSA!C79</f>
        <v>365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9">
      <c r="A105" s="63" t="s">
        <v>53</v>
      </c>
      <c r="B105" s="154" t="s">
        <v>61</v>
      </c>
      <c r="C105" s="1" t="s">
        <v>103</v>
      </c>
      <c r="D105" s="66">
        <f t="shared" ref="D105:E106" si="0">+D101</f>
        <v>26159.66324355108</v>
      </c>
      <c r="E105" s="66">
        <f t="shared" si="0"/>
        <v>22707.810101481638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9">
      <c r="A106" s="63" t="s">
        <v>53</v>
      </c>
      <c r="B106" s="154" t="s">
        <v>61</v>
      </c>
      <c r="C106" s="1" t="s">
        <v>104</v>
      </c>
      <c r="D106" s="66">
        <f t="shared" si="0"/>
        <v>3323</v>
      </c>
      <c r="E106" s="66">
        <f t="shared" si="0"/>
        <v>2780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9">
      <c r="A107" s="63" t="s">
        <v>53</v>
      </c>
      <c r="B107" s="154" t="s">
        <v>61</v>
      </c>
      <c r="C107" s="1" t="s">
        <v>105</v>
      </c>
      <c r="D107" s="66">
        <f t="shared" ref="D107:E107" si="1">+D103+D104</f>
        <v>3124</v>
      </c>
      <c r="E107" s="66">
        <f t="shared" si="1"/>
        <v>1971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9">
      <c r="A108" s="63" t="s">
        <v>62</v>
      </c>
      <c r="B108" s="154" t="s">
        <v>63</v>
      </c>
      <c r="C108" s="1" t="s">
        <v>106</v>
      </c>
      <c r="D108" s="66">
        <f>+'Federal Capital Costs'!D14</f>
        <v>495001</v>
      </c>
      <c r="E108" s="66">
        <f>+'Federal Capital Costs'!E14</f>
        <v>525000</v>
      </c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9">
      <c r="A109" s="63" t="s">
        <v>62</v>
      </c>
      <c r="B109" s="154" t="s">
        <v>63</v>
      </c>
      <c r="C109" s="1" t="s">
        <v>64</v>
      </c>
      <c r="D109" s="66">
        <f>+'Federal Capital Costs'!D15</f>
        <v>16060</v>
      </c>
      <c r="E109" s="66">
        <f>+'Federal Capital Costs'!E15</f>
        <v>12762</v>
      </c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9">
      <c r="A110" s="63" t="s">
        <v>62</v>
      </c>
      <c r="B110" s="154" t="s">
        <v>63</v>
      </c>
      <c r="C110" s="1" t="s">
        <v>107</v>
      </c>
      <c r="D110" s="66">
        <f t="shared" ref="D110:E110" si="2">-SUM(D70:D72)</f>
        <v>-140948.65333333332</v>
      </c>
      <c r="E110" s="66">
        <f t="shared" si="2"/>
        <v>-144154.65333333332</v>
      </c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9">
      <c r="A111" s="63" t="s">
        <v>62</v>
      </c>
      <c r="B111" s="154" t="s">
        <v>63</v>
      </c>
      <c r="C111" s="1" t="s">
        <v>108</v>
      </c>
      <c r="D111" s="66">
        <f t="shared" ref="D111:E111" si="3">-SUM(D73:D82)</f>
        <v>-357654.14083868725</v>
      </c>
      <c r="E111" s="66">
        <f t="shared" si="3"/>
        <v>-355682.26644002798</v>
      </c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9">
      <c r="A112" s="63" t="s">
        <v>62</v>
      </c>
      <c r="B112" s="154" t="s">
        <v>63</v>
      </c>
      <c r="C112" s="1" t="s">
        <v>203</v>
      </c>
      <c r="D112" s="66">
        <f t="shared" ref="D112:E112" si="4">-D86</f>
        <v>-7853.9735706082802</v>
      </c>
      <c r="E112" s="66">
        <f t="shared" si="4"/>
        <v>-6798.6066230999504</v>
      </c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7">
      <c r="A113" s="63" t="s">
        <v>62</v>
      </c>
      <c r="B113" s="154" t="s">
        <v>63</v>
      </c>
      <c r="C113" s="1" t="s">
        <v>109</v>
      </c>
      <c r="D113" s="66">
        <v>45937</v>
      </c>
      <c r="E113" s="66">
        <v>45937</v>
      </c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7">
      <c r="A114" s="63" t="s">
        <v>62</v>
      </c>
      <c r="B114" s="154" t="s">
        <v>63</v>
      </c>
      <c r="C114" s="1" t="s">
        <v>743</v>
      </c>
      <c r="D114" s="66">
        <f>-'Income Statement Cash Flows'!E34</f>
        <v>7561.5887000000002</v>
      </c>
      <c r="E114" s="66">
        <f>-'Income Statement Cash Flows'!F34</f>
        <v>7490.78532</v>
      </c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7">
      <c r="A115" s="63" t="s">
        <v>62</v>
      </c>
      <c r="B115" s="154" t="s">
        <v>63</v>
      </c>
      <c r="C115" s="154" t="s">
        <v>746</v>
      </c>
      <c r="D115" s="66">
        <f>-'Income Statement Cash Flows'!E35</f>
        <v>-168.60468</v>
      </c>
      <c r="E115" s="66">
        <f>-'Income Statement Cash Flows'!F35</f>
        <v>-168.60468</v>
      </c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7">
      <c r="A116" s="63" t="s">
        <v>62</v>
      </c>
      <c r="B116" s="154" t="s">
        <v>63</v>
      </c>
      <c r="C116" s="154" t="s">
        <v>759</v>
      </c>
      <c r="D116" s="66">
        <v>0</v>
      </c>
      <c r="E116" s="66">
        <v>0</v>
      </c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2"/>
    </row>
    <row r="117" spans="1:27">
      <c r="A117" s="63" t="s">
        <v>62</v>
      </c>
      <c r="B117" s="154" t="s">
        <v>63</v>
      </c>
      <c r="C117" s="1" t="s">
        <v>110</v>
      </c>
      <c r="D117" s="66">
        <v>0</v>
      </c>
      <c r="E117" s="66">
        <v>0</v>
      </c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7">
      <c r="A118" s="63" t="s">
        <v>62</v>
      </c>
      <c r="B118" s="154" t="s">
        <v>63</v>
      </c>
      <c r="C118" s="1" t="s">
        <v>111</v>
      </c>
      <c r="D118" s="66">
        <f>+'Federal Capital Costs'!D13</f>
        <v>0</v>
      </c>
      <c r="E118" s="66">
        <f>+'Federal Capital Costs'!E13</f>
        <v>0</v>
      </c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7">
      <c r="A119" s="63" t="s">
        <v>62</v>
      </c>
      <c r="B119" s="154" t="s">
        <v>63</v>
      </c>
      <c r="C119" s="1" t="s">
        <v>112</v>
      </c>
      <c r="D119" s="66">
        <v>0</v>
      </c>
      <c r="E119" s="66">
        <v>0</v>
      </c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7">
      <c r="A120" s="63" t="s">
        <v>62</v>
      </c>
      <c r="B120" s="154" t="s">
        <v>63</v>
      </c>
      <c r="C120" s="1" t="s">
        <v>202</v>
      </c>
      <c r="D120" s="66">
        <f>+'Federal Capital Costs'!D16</f>
        <v>30600</v>
      </c>
      <c r="E120" s="66">
        <f>+'Federal Capital Costs'!E16</f>
        <v>30600</v>
      </c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7">
      <c r="A121" s="63" t="s">
        <v>62</v>
      </c>
      <c r="B121" s="154" t="s">
        <v>63</v>
      </c>
      <c r="C121" s="1" t="s">
        <v>564</v>
      </c>
      <c r="D121" s="66">
        <f>-'Non-Federal DS'!F94/1000</f>
        <v>-77926.486091305138</v>
      </c>
      <c r="E121" s="66">
        <f>-'Non-Federal DS'!G94/1000</f>
        <v>-73154.752743112113</v>
      </c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7">
      <c r="A122" s="63" t="s">
        <v>62</v>
      </c>
      <c r="B122" s="154" t="s">
        <v>63</v>
      </c>
      <c r="C122" s="1" t="s">
        <v>685</v>
      </c>
      <c r="D122" s="66">
        <f>+'Non-Federal DS'!F52</f>
        <v>0</v>
      </c>
      <c r="E122" s="66">
        <f>+'Non-Federal DS'!G52</f>
        <v>0</v>
      </c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7">
      <c r="A123" s="63" t="s">
        <v>62</v>
      </c>
      <c r="B123" s="154" t="s">
        <v>63</v>
      </c>
      <c r="C123" s="1" t="s">
        <v>624</v>
      </c>
      <c r="D123" s="66">
        <f>'Non-Federal DS'!F40+'Non-Federal DS'!F41</f>
        <v>9817.5000000000073</v>
      </c>
      <c r="E123" s="66">
        <f>'Non-Federal DS'!G40+'Non-Federal DS'!G41</f>
        <v>14925.000000000004</v>
      </c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7">
      <c r="A124" s="63" t="s">
        <v>62</v>
      </c>
      <c r="B124" s="154" t="s">
        <v>63</v>
      </c>
      <c r="C124" s="1" t="s">
        <v>670</v>
      </c>
      <c r="D124" s="66">
        <f>'Non-Federal DS'!F39</f>
        <v>296.25</v>
      </c>
      <c r="E124" s="66">
        <f>'Non-Federal DS'!G39</f>
        <v>0</v>
      </c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7">
      <c r="A125" s="63" t="s">
        <v>62</v>
      </c>
      <c r="B125" s="154" t="s">
        <v>63</v>
      </c>
      <c r="C125" s="1" t="s">
        <v>671</v>
      </c>
      <c r="D125" s="66">
        <f>+'Non-Federal DS'!F43</f>
        <v>0</v>
      </c>
      <c r="E125" s="66">
        <f>+'Non-Federal DS'!G43</f>
        <v>0</v>
      </c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7">
      <c r="A126" s="63" t="s">
        <v>62</v>
      </c>
      <c r="B126" s="154" t="s">
        <v>63</v>
      </c>
      <c r="C126" s="1" t="s">
        <v>625</v>
      </c>
      <c r="D126" s="66">
        <f>+'Non-Federal DS'!F44</f>
        <v>1671.4</v>
      </c>
      <c r="E126" s="66">
        <f>+'Non-Federal DS'!G44</f>
        <v>1751.4</v>
      </c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7">
      <c r="A127" s="63" t="s">
        <v>62</v>
      </c>
      <c r="B127" s="154" t="s">
        <v>63</v>
      </c>
      <c r="C127" s="1" t="s">
        <v>626</v>
      </c>
      <c r="D127" s="66">
        <f>'Non-Federal DS'!F45</f>
        <v>4220</v>
      </c>
      <c r="E127" s="66">
        <f>'Non-Federal DS'!G45</f>
        <v>4435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7">
      <c r="A128" s="63" t="s">
        <v>62</v>
      </c>
      <c r="B128" s="154" t="s">
        <v>63</v>
      </c>
      <c r="C128" s="155" t="s">
        <v>684</v>
      </c>
      <c r="D128" s="66">
        <f>-'Income Statement Cash Flows'!E72</f>
        <v>-16510</v>
      </c>
      <c r="E128" s="66">
        <f>-'Income Statement Cash Flows'!F72</f>
        <v>-16865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7">
      <c r="A129" s="63" t="s">
        <v>62</v>
      </c>
      <c r="B129" s="154" t="s">
        <v>63</v>
      </c>
      <c r="C129" s="154" t="s">
        <v>705</v>
      </c>
      <c r="D129" s="66">
        <f>'IPR Data'!C84/1000</f>
        <v>4472</v>
      </c>
      <c r="E129" s="66">
        <f>'IPR Data'!D84/1000</f>
        <v>4650.88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7">
      <c r="A130" s="63" t="s">
        <v>62</v>
      </c>
      <c r="B130" s="154" t="s">
        <v>63</v>
      </c>
      <c r="C130" s="1" t="s">
        <v>706</v>
      </c>
      <c r="D130" s="66">
        <f t="shared" ref="D130:E130" si="5">-D99</f>
        <v>9857.4198361257986</v>
      </c>
      <c r="E130" s="66">
        <f t="shared" si="5"/>
        <v>10198.165340933187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7">
      <c r="A131" s="63" t="s">
        <v>62</v>
      </c>
      <c r="B131" s="154" t="s">
        <v>63</v>
      </c>
      <c r="C131" s="1" t="s">
        <v>707</v>
      </c>
      <c r="D131" s="66">
        <f t="shared" ref="D131:E131" si="6">-D100</f>
        <v>3398.7278184283846</v>
      </c>
      <c r="E131" s="66">
        <f t="shared" si="6"/>
        <v>3516.2130473672032</v>
      </c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7">
      <c r="A132" s="63" t="s">
        <v>62</v>
      </c>
      <c r="B132" s="154" t="s">
        <v>63</v>
      </c>
      <c r="C132" s="1" t="s">
        <v>113</v>
      </c>
      <c r="D132" s="66">
        <f>+'Federal Capital Costs'!D38</f>
        <v>40000</v>
      </c>
      <c r="E132" s="66">
        <f>+'Federal Capital Costs'!E38</f>
        <v>40000</v>
      </c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7" s="162" customFormat="1">
      <c r="A133" s="67" t="s">
        <v>62</v>
      </c>
      <c r="B133" s="340" t="s">
        <v>63</v>
      </c>
      <c r="C133" s="66" t="s">
        <v>114</v>
      </c>
      <c r="D133" s="66">
        <f t="shared" ref="D133:E133" si="7">-SUM(D108:D132)</f>
        <v>-67831.027840620212</v>
      </c>
      <c r="E133" s="66">
        <f t="shared" si="7"/>
        <v>-104442.55988872703</v>
      </c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7">
      <c r="A134" s="63" t="s">
        <v>62</v>
      </c>
      <c r="B134" s="154" t="s">
        <v>65</v>
      </c>
      <c r="C134" s="1" t="s">
        <v>119</v>
      </c>
      <c r="D134" s="66">
        <f>+COSA!D12*COSA!$M$22</f>
        <v>54420.074691947528</v>
      </c>
      <c r="E134" s="66">
        <f>+COSA!D58*COSA!M68</f>
        <v>86372.888820170658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7">
      <c r="A135" s="63" t="s">
        <v>62</v>
      </c>
      <c r="B135" s="154" t="s">
        <v>65</v>
      </c>
      <c r="C135" s="1" t="s">
        <v>120</v>
      </c>
      <c r="D135" s="66">
        <f>+COSA!D13*COSA!$M$22</f>
        <v>6912.7492381489665</v>
      </c>
      <c r="E135" s="66">
        <f>+COSA!D59*COSA!M68</f>
        <v>10574.377986732945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7">
      <c r="A136" s="63" t="s">
        <v>62</v>
      </c>
      <c r="B136" s="154" t="s">
        <v>65</v>
      </c>
      <c r="C136" s="1" t="s">
        <v>121</v>
      </c>
      <c r="D136" s="66">
        <f>+COSA!D30*COSA!M22</f>
        <v>5472.8219246425588</v>
      </c>
      <c r="E136" s="66">
        <f>+COSA!D76*COSA!M68</f>
        <v>6106.5047237612625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7">
      <c r="A137" s="63" t="s">
        <v>62</v>
      </c>
      <c r="B137" s="154" t="s">
        <v>65</v>
      </c>
      <c r="C137" s="1" t="s">
        <v>122</v>
      </c>
      <c r="D137" s="66">
        <f>+COSA!D33*COSA!M22</f>
        <v>1025.3819858811116</v>
      </c>
      <c r="E137" s="66">
        <f>+COSA!D79*COSA!M68</f>
        <v>1388.7883580621333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7">
      <c r="A138" s="63" t="s">
        <v>62</v>
      </c>
      <c r="B138" s="154" t="s">
        <v>66</v>
      </c>
      <c r="C138" s="1" t="s">
        <v>115</v>
      </c>
      <c r="D138" s="66">
        <f t="shared" ref="D138:E138" si="8">+D134</f>
        <v>54420.074691947528</v>
      </c>
      <c r="E138" s="66">
        <f t="shared" si="8"/>
        <v>86372.888820170658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7">
      <c r="A139" s="63" t="s">
        <v>62</v>
      </c>
      <c r="B139" s="154" t="s">
        <v>66</v>
      </c>
      <c r="C139" s="1" t="s">
        <v>116</v>
      </c>
      <c r="D139" s="66">
        <f t="shared" ref="D139:E139" si="9">+D135</f>
        <v>6912.7492381489665</v>
      </c>
      <c r="E139" s="66">
        <f t="shared" si="9"/>
        <v>10574.377986732945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7">
      <c r="A140" s="63" t="s">
        <v>62</v>
      </c>
      <c r="B140" s="154" t="s">
        <v>66</v>
      </c>
      <c r="C140" s="1" t="s">
        <v>117</v>
      </c>
      <c r="D140" s="66">
        <f t="shared" ref="D140:E140" si="10">+D136+D137</f>
        <v>6498.2039105236709</v>
      </c>
      <c r="E140" s="66">
        <f t="shared" si="10"/>
        <v>7495.2930818233963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7">
      <c r="A141" s="63" t="s">
        <v>62</v>
      </c>
      <c r="B141" s="154" t="s">
        <v>67</v>
      </c>
      <c r="C141" s="1" t="s">
        <v>123</v>
      </c>
      <c r="D141" s="66">
        <f>+COSA!D12-'cost table'!D134</f>
        <v>24870.953148672641</v>
      </c>
      <c r="E141" s="66">
        <f>+COSA!D58-'cost table'!E134</f>
        <v>25636.671068556345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7">
      <c r="A142" s="63" t="s">
        <v>62</v>
      </c>
      <c r="B142" s="154" t="s">
        <v>67</v>
      </c>
      <c r="C142" s="1" t="s">
        <v>124</v>
      </c>
      <c r="D142" s="66">
        <f>+COSA!D13-'cost table'!D135</f>
        <v>3159.2507618510335</v>
      </c>
      <c r="E142" s="66">
        <f>+COSA!D59-'cost table'!E135</f>
        <v>3138.6220132670551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7">
      <c r="A143" s="63" t="s">
        <v>62</v>
      </c>
      <c r="B143" s="154" t="s">
        <v>67</v>
      </c>
      <c r="C143" s="1" t="s">
        <v>125</v>
      </c>
      <c r="D143" s="66">
        <f>+COSA!D30-'cost table'!D136</f>
        <v>2501.1780753574412</v>
      </c>
      <c r="E143" s="66">
        <f>+COSA!D76-'cost table'!E136</f>
        <v>1812.4952762387375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62"/>
    </row>
    <row r="144" spans="1:27" ht="12" customHeight="1">
      <c r="A144" s="63" t="s">
        <v>62</v>
      </c>
      <c r="B144" s="154" t="s">
        <v>67</v>
      </c>
      <c r="C144" s="1" t="s">
        <v>126</v>
      </c>
      <c r="D144" s="66">
        <f>+COSA!D35-'cost table'!D137</f>
        <v>468.61801411888837</v>
      </c>
      <c r="E144" s="66">
        <f>+COSA!D81-'cost table'!E137</f>
        <v>412.21164193786672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63" t="s">
        <v>62</v>
      </c>
      <c r="B145" s="154" t="s">
        <v>68</v>
      </c>
      <c r="C145" s="1" t="s">
        <v>127</v>
      </c>
      <c r="D145" s="66">
        <f t="shared" ref="D145:E145" si="11">+D141</f>
        <v>24870.953148672641</v>
      </c>
      <c r="E145" s="66">
        <f t="shared" si="11"/>
        <v>25636.671068556345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63" t="s">
        <v>62</v>
      </c>
      <c r="B146" s="154" t="s">
        <v>68</v>
      </c>
      <c r="C146" s="1" t="s">
        <v>128</v>
      </c>
      <c r="D146" s="66">
        <f t="shared" ref="D146:E146" si="12">+D142</f>
        <v>3159.2507618510335</v>
      </c>
      <c r="E146" s="66">
        <f t="shared" si="12"/>
        <v>3138.6220132670551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63" t="s">
        <v>62</v>
      </c>
      <c r="B147" s="154" t="s">
        <v>68</v>
      </c>
      <c r="C147" s="1" t="s">
        <v>129</v>
      </c>
      <c r="D147" s="66">
        <f t="shared" ref="D147:E147" si="13">+D143+D144</f>
        <v>2969.7960894763296</v>
      </c>
      <c r="E147" s="66">
        <f t="shared" si="13"/>
        <v>2224.7069181766042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69"/>
      <c r="B148" s="154"/>
      <c r="C148" s="1"/>
      <c r="D148" s="66"/>
      <c r="E148" s="6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69"/>
      <c r="B149" s="154"/>
      <c r="C149" s="1"/>
      <c r="D149" s="66"/>
      <c r="E149" s="6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69"/>
      <c r="B150" s="154"/>
      <c r="C150" s="1"/>
      <c r="D150" s="66"/>
      <c r="E150" s="6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69"/>
      <c r="B151" s="154"/>
      <c r="C151" s="1"/>
      <c r="D151" s="66"/>
      <c r="E151" s="6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341"/>
      <c r="B152" s="1"/>
      <c r="C152" s="1"/>
      <c r="D152" s="66"/>
      <c r="E152" s="66"/>
      <c r="F152" s="2"/>
      <c r="G152" s="2"/>
      <c r="H152" s="2"/>
      <c r="I152" s="2"/>
      <c r="J152" s="323"/>
    </row>
    <row r="153" spans="1:26" ht="12" customHeight="1">
      <c r="A153" s="341"/>
      <c r="B153" s="1"/>
      <c r="C153" s="1"/>
      <c r="D153" s="66"/>
      <c r="E153" s="66"/>
      <c r="F153" s="2"/>
      <c r="G153" s="2"/>
      <c r="H153" s="2"/>
      <c r="I153" s="2"/>
      <c r="J153" s="323"/>
    </row>
    <row r="154" spans="1:26" ht="12" customHeight="1">
      <c r="A154" s="341"/>
      <c r="B154" s="1"/>
      <c r="C154" s="1"/>
      <c r="D154" s="66"/>
      <c r="E154" s="66"/>
      <c r="F154" s="2"/>
      <c r="G154" s="2"/>
      <c r="H154" s="2"/>
      <c r="I154" s="2"/>
      <c r="J154" s="323"/>
    </row>
    <row r="155" spans="1:26" ht="12" customHeight="1">
      <c r="A155" s="341"/>
      <c r="B155" s="69"/>
      <c r="C155" s="342"/>
      <c r="D155" s="124"/>
      <c r="E155" s="124"/>
      <c r="F155" s="3"/>
      <c r="G155" s="3"/>
      <c r="H155" s="3"/>
      <c r="I155" s="3"/>
      <c r="J155" s="323"/>
    </row>
    <row r="156" spans="1:26" ht="12" customHeight="1">
      <c r="A156" s="341"/>
      <c r="B156" s="1"/>
      <c r="C156" s="1"/>
    </row>
    <row r="157" spans="1:26" ht="12" customHeight="1">
      <c r="A157" s="341" t="s">
        <v>756</v>
      </c>
      <c r="B157" s="1"/>
      <c r="C157" s="1"/>
      <c r="D157" s="66"/>
      <c r="E157" s="66"/>
      <c r="F157" s="2"/>
      <c r="G157" s="2"/>
      <c r="H157" s="2"/>
      <c r="I157" s="2"/>
    </row>
    <row r="158" spans="1:26">
      <c r="A158" s="63" t="s">
        <v>0</v>
      </c>
      <c r="B158" s="154" t="s">
        <v>1</v>
      </c>
      <c r="C158" s="1" t="s">
        <v>7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63" t="s">
        <v>0</v>
      </c>
      <c r="B159" s="154" t="s">
        <v>18</v>
      </c>
      <c r="C159" s="323" t="s">
        <v>567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63" t="s">
        <v>0</v>
      </c>
      <c r="B160" s="154" t="s">
        <v>18</v>
      </c>
      <c r="C160" s="323" t="s">
        <v>568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9">
      <c r="A161" s="63" t="s">
        <v>25</v>
      </c>
      <c r="B161" s="154" t="s">
        <v>36</v>
      </c>
      <c r="C161" s="1" t="s">
        <v>39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9">
      <c r="A162" s="63" t="s">
        <v>45</v>
      </c>
      <c r="B162" s="154" t="s">
        <v>50</v>
      </c>
      <c r="C162" s="1" t="s">
        <v>704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2"/>
    </row>
    <row r="163" spans="1:29">
      <c r="A163" s="63" t="s">
        <v>53</v>
      </c>
      <c r="B163" s="154" t="s">
        <v>54</v>
      </c>
      <c r="C163" s="1" t="s">
        <v>496</v>
      </c>
      <c r="D163" s="66"/>
      <c r="E163" s="66"/>
      <c r="F163" s="66"/>
      <c r="G163" s="66"/>
      <c r="H163" s="66"/>
      <c r="I163" s="6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63" t="s">
        <v>62</v>
      </c>
      <c r="B164" s="154" t="s">
        <v>63</v>
      </c>
      <c r="C164" s="70" t="s">
        <v>495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9">
      <c r="A165" s="63" t="s">
        <v>62</v>
      </c>
      <c r="B165" s="154" t="s">
        <v>63</v>
      </c>
      <c r="C165" s="70" t="s">
        <v>564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9">
      <c r="A166" s="63" t="s">
        <v>62</v>
      </c>
      <c r="B166" s="154" t="s">
        <v>63</v>
      </c>
      <c r="C166" s="70" t="s">
        <v>565</v>
      </c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9" ht="12" customHeight="1">
      <c r="A167" s="341"/>
      <c r="B167" s="1"/>
      <c r="C167" s="1"/>
      <c r="D167" s="66"/>
      <c r="E167" s="66"/>
      <c r="F167" s="2"/>
      <c r="G167" s="2"/>
      <c r="H167" s="2"/>
      <c r="I167" s="2"/>
    </row>
    <row r="168" spans="1:29" ht="12" customHeight="1">
      <c r="A168" s="341"/>
      <c r="B168" s="1"/>
      <c r="C168" s="1"/>
      <c r="D168" s="66"/>
      <c r="E168" s="66"/>
      <c r="F168" s="2"/>
      <c r="G168" s="2"/>
      <c r="H168" s="2"/>
      <c r="I168" s="2"/>
    </row>
    <row r="169" spans="1:29" ht="12" customHeight="1">
      <c r="A169" s="341"/>
      <c r="B169" s="1"/>
      <c r="C169" s="1"/>
      <c r="D169" s="66"/>
      <c r="E169" s="66"/>
      <c r="F169" s="2"/>
      <c r="G169" s="2"/>
      <c r="H169" s="2"/>
      <c r="I169" s="2"/>
    </row>
    <row r="170" spans="1:29" ht="12" customHeight="1">
      <c r="A170" s="341"/>
      <c r="B170" s="1"/>
      <c r="C170" s="1"/>
      <c r="D170" s="66"/>
      <c r="E170" s="66"/>
      <c r="F170" s="2"/>
      <c r="G170" s="2"/>
      <c r="H170" s="2"/>
      <c r="I170" s="2"/>
    </row>
    <row r="171" spans="1:29" ht="12" customHeight="1">
      <c r="A171" s="341"/>
      <c r="B171" s="1"/>
      <c r="C171" s="1"/>
      <c r="D171" s="66"/>
      <c r="E171" s="66"/>
      <c r="F171" s="2"/>
      <c r="G171" s="2"/>
      <c r="H171" s="2"/>
      <c r="I171" s="2"/>
    </row>
    <row r="172" spans="1:29" ht="12" customHeight="1">
      <c r="A172" s="341"/>
      <c r="B172" s="1"/>
      <c r="C172" s="1"/>
      <c r="D172" s="66"/>
      <c r="E172" s="66"/>
      <c r="F172" s="2"/>
      <c r="G172" s="2"/>
      <c r="H172" s="2"/>
      <c r="I172" s="2"/>
    </row>
    <row r="173" spans="1:29" ht="12" customHeight="1">
      <c r="A173" s="341"/>
      <c r="B173" s="1"/>
      <c r="C173" s="1"/>
      <c r="D173" s="66"/>
      <c r="E173" s="66"/>
      <c r="F173" s="2"/>
      <c r="G173" s="2"/>
      <c r="H173" s="2"/>
      <c r="I173" s="2"/>
    </row>
    <row r="174" spans="1:29" ht="12" customHeight="1">
      <c r="A174" s="341"/>
      <c r="B174" s="1"/>
      <c r="C174" s="1"/>
      <c r="D174" s="66"/>
      <c r="E174" s="66"/>
      <c r="F174" s="2"/>
      <c r="G174" s="2"/>
      <c r="H174" s="2"/>
      <c r="I174" s="2"/>
    </row>
    <row r="175" spans="1:29" ht="12" customHeight="1">
      <c r="A175" s="341"/>
      <c r="B175" s="1"/>
      <c r="C175" s="1"/>
      <c r="D175" s="66"/>
      <c r="E175" s="66"/>
      <c r="F175" s="2"/>
      <c r="G175" s="2"/>
      <c r="H175" s="2"/>
      <c r="I175" s="2"/>
    </row>
    <row r="176" spans="1:29" ht="12" customHeight="1">
      <c r="A176" s="341"/>
      <c r="B176" s="1"/>
      <c r="C176" s="1"/>
      <c r="D176" s="66"/>
      <c r="E176" s="66"/>
      <c r="F176" s="2"/>
      <c r="G176" s="2"/>
      <c r="H176" s="2"/>
      <c r="I176" s="2"/>
    </row>
    <row r="177" spans="1:9" ht="12" customHeight="1">
      <c r="A177" s="341"/>
      <c r="B177" s="1"/>
      <c r="C177" s="1"/>
      <c r="D177" s="66"/>
      <c r="E177" s="66"/>
      <c r="F177" s="2"/>
      <c r="G177" s="2"/>
      <c r="H177" s="2"/>
      <c r="I177" s="2"/>
    </row>
    <row r="178" spans="1:9" ht="12" customHeight="1">
      <c r="A178" s="341"/>
      <c r="B178" s="1"/>
      <c r="C178" s="1"/>
      <c r="D178" s="66"/>
      <c r="E178" s="66"/>
      <c r="F178" s="2"/>
      <c r="G178" s="2"/>
      <c r="H178" s="2"/>
      <c r="I178" s="2"/>
    </row>
    <row r="179" spans="1:9" ht="12" customHeight="1">
      <c r="A179" s="341"/>
      <c r="B179" s="1"/>
      <c r="C179" s="1"/>
      <c r="D179" s="66"/>
      <c r="E179" s="66"/>
      <c r="F179" s="2"/>
      <c r="G179" s="2"/>
      <c r="H179" s="2"/>
      <c r="I179" s="2"/>
    </row>
    <row r="180" spans="1:9" ht="12" customHeight="1">
      <c r="A180" s="341"/>
      <c r="B180" s="1"/>
      <c r="C180" s="1"/>
      <c r="D180" s="66"/>
      <c r="E180" s="66"/>
      <c r="F180" s="2"/>
      <c r="G180" s="2"/>
      <c r="H180" s="2"/>
      <c r="I180" s="2"/>
    </row>
    <row r="181" spans="1:9" ht="12" customHeight="1">
      <c r="A181" s="341"/>
      <c r="B181" s="1"/>
      <c r="C181" s="1"/>
      <c r="D181" s="66"/>
      <c r="E181" s="66"/>
      <c r="F181" s="2"/>
      <c r="G181" s="2"/>
      <c r="H181" s="2"/>
      <c r="I181" s="2"/>
    </row>
    <row r="182" spans="1:9" ht="12" customHeight="1">
      <c r="A182" s="341"/>
      <c r="B182" s="1"/>
      <c r="C182" s="1"/>
      <c r="D182" s="66"/>
      <c r="E182" s="66"/>
      <c r="F182" s="2"/>
      <c r="G182" s="2"/>
      <c r="H182" s="2"/>
      <c r="I182" s="2"/>
    </row>
    <row r="183" spans="1:9" ht="12" customHeight="1">
      <c r="A183" s="341"/>
      <c r="B183" s="1"/>
      <c r="C183" s="1"/>
      <c r="D183" s="66"/>
      <c r="E183" s="66"/>
      <c r="F183" s="2"/>
      <c r="G183" s="2"/>
      <c r="H183" s="2"/>
      <c r="I183" s="2"/>
    </row>
    <row r="184" spans="1:9" ht="12" customHeight="1">
      <c r="A184" s="341"/>
      <c r="B184" s="1"/>
      <c r="C184" s="1"/>
      <c r="D184" s="66"/>
      <c r="E184" s="66"/>
      <c r="F184" s="2"/>
      <c r="G184" s="2"/>
      <c r="H184" s="2"/>
      <c r="I184" s="2"/>
    </row>
    <row r="185" spans="1:9" ht="12" customHeight="1">
      <c r="A185" s="341"/>
      <c r="B185" s="1"/>
      <c r="C185" s="1"/>
      <c r="D185" s="66"/>
      <c r="E185" s="66"/>
      <c r="F185" s="2"/>
      <c r="G185" s="2"/>
      <c r="H185" s="2"/>
      <c r="I185" s="2"/>
    </row>
    <row r="186" spans="1:9" ht="12" customHeight="1">
      <c r="A186" s="341"/>
      <c r="B186" s="1"/>
      <c r="C186" s="1"/>
      <c r="D186" s="66"/>
      <c r="E186" s="66"/>
      <c r="F186" s="2"/>
      <c r="G186" s="2"/>
      <c r="H186" s="2"/>
      <c r="I186" s="2"/>
    </row>
    <row r="187" spans="1:9" ht="12" customHeight="1">
      <c r="A187" s="341"/>
      <c r="B187" s="1"/>
      <c r="C187" s="1"/>
      <c r="D187" s="66"/>
      <c r="E187" s="66"/>
      <c r="F187" s="2"/>
      <c r="G187" s="2"/>
      <c r="H187" s="2"/>
      <c r="I187" s="2"/>
    </row>
    <row r="188" spans="1:9" ht="12" customHeight="1">
      <c r="A188" s="341"/>
      <c r="B188" s="1"/>
      <c r="C188" s="1"/>
      <c r="D188" s="66"/>
      <c r="E188" s="66"/>
      <c r="F188" s="2"/>
      <c r="G188" s="2"/>
      <c r="H188" s="2"/>
      <c r="I188" s="2"/>
    </row>
    <row r="189" spans="1:9" ht="12" customHeight="1">
      <c r="A189" s="341"/>
      <c r="B189" s="1"/>
      <c r="C189" s="1"/>
      <c r="D189" s="66"/>
      <c r="E189" s="66"/>
      <c r="F189" s="2"/>
      <c r="G189" s="2"/>
      <c r="H189" s="2"/>
      <c r="I189" s="2"/>
    </row>
    <row r="190" spans="1:9" ht="12" customHeight="1">
      <c r="A190" s="341"/>
      <c r="B190" s="1"/>
      <c r="C190" s="1"/>
      <c r="D190" s="66"/>
      <c r="E190" s="66"/>
      <c r="F190" s="2"/>
      <c r="G190" s="2"/>
      <c r="H190" s="2"/>
      <c r="I190" s="2"/>
    </row>
    <row r="191" spans="1:9" ht="12" customHeight="1">
      <c r="A191" s="341"/>
      <c r="B191" s="1"/>
      <c r="C191" s="1"/>
      <c r="D191" s="66"/>
      <c r="E191" s="66"/>
      <c r="F191" s="2"/>
      <c r="G191" s="2"/>
      <c r="H191" s="2"/>
      <c r="I191" s="2"/>
    </row>
    <row r="192" spans="1:9" ht="12" customHeight="1">
      <c r="A192" s="341"/>
      <c r="B192" s="1"/>
      <c r="C192" s="1"/>
      <c r="D192" s="66"/>
      <c r="E192" s="66"/>
      <c r="F192" s="2"/>
      <c r="G192" s="2"/>
      <c r="H192" s="2"/>
      <c r="I192" s="2"/>
    </row>
    <row r="193" spans="1:9" ht="12" customHeight="1">
      <c r="A193" s="341"/>
      <c r="B193" s="1"/>
      <c r="C193" s="1"/>
      <c r="D193" s="66"/>
      <c r="E193" s="66"/>
      <c r="F193" s="2"/>
      <c r="G193" s="2"/>
      <c r="H193" s="2"/>
      <c r="I193" s="2"/>
    </row>
    <row r="194" spans="1:9" ht="12" customHeight="1">
      <c r="A194" s="341"/>
      <c r="B194" s="1"/>
      <c r="C194" s="1"/>
      <c r="D194" s="66"/>
      <c r="E194" s="66"/>
      <c r="F194" s="2"/>
      <c r="G194" s="2"/>
      <c r="H194" s="2"/>
      <c r="I194" s="2"/>
    </row>
    <row r="195" spans="1:9" ht="12" customHeight="1">
      <c r="A195" s="341"/>
      <c r="B195" s="1"/>
      <c r="C195" s="1"/>
      <c r="D195" s="66"/>
      <c r="E195" s="66"/>
      <c r="F195" s="2"/>
      <c r="G195" s="2"/>
      <c r="H195" s="2"/>
      <c r="I195" s="2"/>
    </row>
    <row r="196" spans="1:9" ht="12" customHeight="1">
      <c r="A196" s="341"/>
      <c r="B196" s="1"/>
      <c r="C196" s="1"/>
      <c r="D196" s="66"/>
      <c r="E196" s="66"/>
      <c r="F196" s="2"/>
      <c r="G196" s="2"/>
      <c r="H196" s="2"/>
      <c r="I196" s="2"/>
    </row>
    <row r="197" spans="1:9" ht="12" customHeight="1">
      <c r="A197" s="341"/>
      <c r="B197" s="1"/>
      <c r="C197" s="1"/>
      <c r="D197" s="66"/>
      <c r="E197" s="66"/>
      <c r="F197" s="2"/>
      <c r="G197" s="2"/>
      <c r="H197" s="2"/>
      <c r="I197" s="2"/>
    </row>
    <row r="198" spans="1:9" ht="12" customHeight="1">
      <c r="A198" s="341"/>
      <c r="B198" s="1"/>
      <c r="C198" s="1"/>
      <c r="D198" s="66"/>
      <c r="E198" s="66"/>
      <c r="F198" s="2"/>
      <c r="G198" s="2"/>
      <c r="H198" s="2"/>
      <c r="I198" s="2"/>
    </row>
    <row r="199" spans="1:9" ht="12" customHeight="1">
      <c r="A199" s="341"/>
      <c r="B199" s="1"/>
      <c r="C199" s="1"/>
      <c r="D199" s="66"/>
      <c r="E199" s="66"/>
      <c r="F199" s="2"/>
      <c r="G199" s="2"/>
      <c r="H199" s="2"/>
      <c r="I199" s="2"/>
    </row>
    <row r="200" spans="1:9" ht="12" customHeight="1">
      <c r="A200" s="341"/>
      <c r="B200" s="1"/>
      <c r="C200" s="1"/>
      <c r="D200" s="66"/>
      <c r="E200" s="66"/>
      <c r="F200" s="2"/>
      <c r="G200" s="2"/>
      <c r="H200" s="2"/>
      <c r="I200" s="2"/>
    </row>
    <row r="201" spans="1:9" ht="12" customHeight="1">
      <c r="A201" s="341"/>
      <c r="B201" s="1"/>
      <c r="C201" s="1"/>
      <c r="D201" s="66"/>
      <c r="E201" s="66"/>
      <c r="F201" s="2"/>
      <c r="G201" s="2"/>
      <c r="H201" s="2"/>
      <c r="I201" s="2"/>
    </row>
    <row r="202" spans="1:9" ht="12" customHeight="1">
      <c r="A202" s="341"/>
      <c r="B202" s="1"/>
      <c r="C202" s="1"/>
      <c r="D202" s="66"/>
      <c r="E202" s="66"/>
      <c r="F202" s="2"/>
      <c r="G202" s="2"/>
      <c r="H202" s="2"/>
      <c r="I202" s="2"/>
    </row>
    <row r="203" spans="1:9" ht="12" customHeight="1">
      <c r="A203" s="341"/>
      <c r="B203" s="1"/>
      <c r="C203" s="1"/>
      <c r="D203" s="66"/>
      <c r="E203" s="66"/>
      <c r="F203" s="2"/>
      <c r="G203" s="2"/>
      <c r="H203" s="2"/>
      <c r="I203" s="2"/>
    </row>
    <row r="204" spans="1:9" ht="12" customHeight="1">
      <c r="A204" s="341"/>
      <c r="B204" s="1"/>
      <c r="C204" s="1"/>
      <c r="D204" s="66"/>
      <c r="E204" s="66"/>
      <c r="F204" s="2"/>
      <c r="G204" s="2"/>
      <c r="H204" s="2"/>
      <c r="I204" s="2"/>
    </row>
    <row r="205" spans="1:9" ht="12" customHeight="1">
      <c r="A205" s="341"/>
      <c r="B205" s="1"/>
      <c r="C205" s="1"/>
      <c r="D205" s="66"/>
      <c r="E205" s="66"/>
      <c r="F205" s="2"/>
      <c r="G205" s="2"/>
      <c r="H205" s="2"/>
      <c r="I205" s="2"/>
    </row>
    <row r="206" spans="1:9" ht="12" customHeight="1">
      <c r="A206" s="341"/>
      <c r="B206" s="1"/>
      <c r="C206" s="1"/>
      <c r="D206" s="66"/>
      <c r="E206" s="66"/>
      <c r="F206" s="2"/>
      <c r="G206" s="2"/>
      <c r="H206" s="2"/>
      <c r="I206" s="2"/>
    </row>
    <row r="207" spans="1:9" ht="12" customHeight="1">
      <c r="A207" s="341"/>
      <c r="B207" s="1"/>
      <c r="C207" s="1"/>
      <c r="D207" s="66"/>
      <c r="E207" s="66"/>
      <c r="F207" s="2"/>
      <c r="G207" s="2"/>
      <c r="H207" s="2"/>
      <c r="I207" s="2"/>
    </row>
    <row r="208" spans="1:9" ht="12" customHeight="1">
      <c r="A208" s="341"/>
      <c r="B208" s="1"/>
      <c r="C208" s="1"/>
      <c r="D208" s="66"/>
      <c r="E208" s="66"/>
      <c r="F208" s="2"/>
      <c r="G208" s="2"/>
      <c r="H208" s="2"/>
      <c r="I208" s="2"/>
    </row>
    <row r="209" spans="1:9" ht="12" customHeight="1">
      <c r="A209" s="341"/>
      <c r="B209" s="1"/>
      <c r="C209" s="1"/>
      <c r="D209" s="66"/>
      <c r="E209" s="66"/>
      <c r="F209" s="2"/>
      <c r="G209" s="2"/>
      <c r="H209" s="2"/>
      <c r="I209" s="2"/>
    </row>
    <row r="210" spans="1:9" ht="12" customHeight="1">
      <c r="A210" s="341"/>
      <c r="B210" s="1"/>
      <c r="C210" s="1"/>
      <c r="D210" s="66"/>
      <c r="E210" s="66"/>
      <c r="F210" s="2"/>
      <c r="G210" s="2"/>
      <c r="H210" s="2"/>
      <c r="I210" s="2"/>
    </row>
    <row r="211" spans="1:9" ht="12" customHeight="1">
      <c r="A211" s="341"/>
      <c r="B211" s="1"/>
      <c r="C211" s="1"/>
      <c r="D211" s="66"/>
      <c r="E211" s="66"/>
      <c r="F211" s="2"/>
      <c r="G211" s="2"/>
      <c r="H211" s="2"/>
      <c r="I211" s="2"/>
    </row>
    <row r="212" spans="1:9" ht="12" customHeight="1">
      <c r="A212" s="341"/>
      <c r="B212" s="1"/>
      <c r="C212" s="1"/>
      <c r="D212" s="66"/>
      <c r="E212" s="66"/>
      <c r="F212" s="2"/>
      <c r="G212" s="2"/>
      <c r="H212" s="2"/>
      <c r="I212" s="2"/>
    </row>
    <row r="213" spans="1:9" ht="12" customHeight="1">
      <c r="A213" s="341"/>
      <c r="B213" s="1"/>
      <c r="C213" s="1"/>
      <c r="D213" s="66"/>
      <c r="E213" s="66"/>
      <c r="F213" s="2"/>
      <c r="G213" s="2"/>
      <c r="H213" s="2"/>
      <c r="I213" s="2"/>
    </row>
    <row r="214" spans="1:9" ht="12" customHeight="1">
      <c r="A214" s="341"/>
      <c r="B214" s="1"/>
      <c r="C214" s="1"/>
      <c r="D214" s="66"/>
      <c r="E214" s="66"/>
      <c r="F214" s="2"/>
      <c r="G214" s="2"/>
      <c r="H214" s="2"/>
      <c r="I214" s="2"/>
    </row>
    <row r="215" spans="1:9" ht="12" customHeight="1">
      <c r="A215" s="341"/>
      <c r="B215" s="1"/>
      <c r="C215" s="1"/>
      <c r="D215" s="66"/>
      <c r="E215" s="66"/>
      <c r="F215" s="2"/>
      <c r="G215" s="2"/>
      <c r="H215" s="2"/>
      <c r="I215" s="2"/>
    </row>
    <row r="216" spans="1:9" ht="12" customHeight="1">
      <c r="A216" s="341"/>
      <c r="B216" s="1"/>
      <c r="C216" s="1"/>
      <c r="D216" s="66"/>
      <c r="E216" s="66"/>
      <c r="F216" s="2"/>
      <c r="G216" s="2"/>
      <c r="H216" s="2"/>
      <c r="I216" s="2"/>
    </row>
    <row r="217" spans="1:9" ht="12" customHeight="1">
      <c r="A217" s="341"/>
      <c r="B217" s="1"/>
      <c r="C217" s="1"/>
      <c r="D217" s="66"/>
      <c r="E217" s="66"/>
      <c r="F217" s="2"/>
      <c r="G217" s="2"/>
      <c r="H217" s="2"/>
      <c r="I217" s="2"/>
    </row>
    <row r="218" spans="1:9" ht="12" customHeight="1">
      <c r="A218" s="341"/>
      <c r="B218" s="1"/>
      <c r="C218" s="1"/>
      <c r="D218" s="66"/>
      <c r="E218" s="66"/>
      <c r="F218" s="2"/>
      <c r="G218" s="2"/>
      <c r="H218" s="2"/>
      <c r="I218" s="2"/>
    </row>
    <row r="219" spans="1:9" ht="12" customHeight="1">
      <c r="A219" s="341"/>
      <c r="B219" s="1"/>
      <c r="C219" s="1"/>
      <c r="D219" s="66"/>
      <c r="E219" s="66"/>
      <c r="F219" s="2"/>
      <c r="G219" s="2"/>
      <c r="H219" s="2"/>
      <c r="I219" s="2"/>
    </row>
    <row r="220" spans="1:9" ht="12" customHeight="1">
      <c r="A220" s="341"/>
      <c r="B220" s="1"/>
      <c r="C220" s="1"/>
      <c r="D220" s="66"/>
      <c r="E220" s="66"/>
      <c r="F220" s="2"/>
      <c r="G220" s="2"/>
      <c r="H220" s="2"/>
      <c r="I220" s="2"/>
    </row>
    <row r="221" spans="1:9" ht="12" customHeight="1">
      <c r="A221" s="341"/>
      <c r="B221" s="1"/>
      <c r="C221" s="1"/>
      <c r="D221" s="66"/>
      <c r="E221" s="66"/>
      <c r="F221" s="2"/>
      <c r="G221" s="2"/>
      <c r="H221" s="2"/>
      <c r="I221" s="2"/>
    </row>
    <row r="222" spans="1:9" ht="12" customHeight="1">
      <c r="A222" s="341"/>
      <c r="B222" s="1"/>
      <c r="C222" s="1"/>
      <c r="D222" s="66"/>
      <c r="E222" s="66"/>
      <c r="F222" s="2"/>
      <c r="G222" s="2"/>
      <c r="H222" s="2"/>
      <c r="I222" s="2"/>
    </row>
    <row r="223" spans="1:9" ht="12" customHeight="1">
      <c r="A223" s="341"/>
      <c r="B223" s="1"/>
      <c r="C223" s="1"/>
      <c r="D223" s="66"/>
      <c r="E223" s="66"/>
      <c r="F223" s="2"/>
      <c r="G223" s="2"/>
      <c r="H223" s="2"/>
      <c r="I223" s="2"/>
    </row>
    <row r="224" spans="1:9" ht="12" customHeight="1">
      <c r="A224" s="341"/>
      <c r="B224" s="1"/>
      <c r="C224" s="1"/>
      <c r="D224" s="66"/>
      <c r="E224" s="66"/>
      <c r="F224" s="2"/>
      <c r="G224" s="2"/>
      <c r="H224" s="2"/>
      <c r="I224" s="2"/>
    </row>
    <row r="225" spans="1:9" ht="12" customHeight="1">
      <c r="A225" s="341"/>
      <c r="B225" s="1"/>
      <c r="C225" s="1"/>
      <c r="D225" s="66"/>
      <c r="E225" s="66"/>
      <c r="F225" s="2"/>
      <c r="G225" s="2"/>
      <c r="H225" s="2"/>
      <c r="I225" s="2"/>
    </row>
    <row r="226" spans="1:9" ht="12" customHeight="1">
      <c r="A226" s="341"/>
      <c r="B226" s="1"/>
      <c r="C226" s="1"/>
      <c r="D226" s="66"/>
      <c r="E226" s="66"/>
      <c r="F226" s="2"/>
      <c r="G226" s="2"/>
      <c r="H226" s="2"/>
      <c r="I226" s="2"/>
    </row>
    <row r="227" spans="1:9" ht="12" customHeight="1">
      <c r="A227" s="341"/>
      <c r="B227" s="1"/>
      <c r="C227" s="1"/>
      <c r="D227" s="66"/>
      <c r="E227" s="66"/>
      <c r="F227" s="2"/>
      <c r="G227" s="2"/>
      <c r="H227" s="2"/>
      <c r="I227" s="2"/>
    </row>
    <row r="228" spans="1:9" ht="12" customHeight="1">
      <c r="A228" s="341"/>
      <c r="B228" s="1"/>
      <c r="C228" s="1"/>
      <c r="D228" s="66"/>
      <c r="E228" s="66"/>
      <c r="F228" s="2"/>
      <c r="G228" s="2"/>
      <c r="H228" s="2"/>
      <c r="I228" s="2"/>
    </row>
    <row r="229" spans="1:9" ht="12" customHeight="1">
      <c r="A229" s="341"/>
      <c r="B229" s="1"/>
      <c r="C229" s="1"/>
      <c r="D229" s="66"/>
      <c r="E229" s="66"/>
      <c r="F229" s="2"/>
      <c r="G229" s="2"/>
      <c r="H229" s="2"/>
      <c r="I229" s="2"/>
    </row>
    <row r="230" spans="1:9" ht="12" customHeight="1">
      <c r="A230" s="341"/>
      <c r="B230" s="1"/>
      <c r="C230" s="1"/>
      <c r="D230" s="66"/>
      <c r="E230" s="66"/>
      <c r="F230" s="2"/>
      <c r="G230" s="2"/>
      <c r="H230" s="2"/>
      <c r="I230" s="2"/>
    </row>
    <row r="231" spans="1:9" ht="12" customHeight="1">
      <c r="A231" s="341"/>
      <c r="B231" s="1"/>
      <c r="C231" s="1"/>
      <c r="D231" s="66"/>
      <c r="E231" s="66"/>
      <c r="F231" s="2"/>
      <c r="G231" s="2"/>
      <c r="H231" s="2"/>
      <c r="I231" s="2"/>
    </row>
    <row r="232" spans="1:9" ht="12" customHeight="1">
      <c r="A232" s="341"/>
      <c r="B232" s="1"/>
      <c r="C232" s="1"/>
      <c r="D232" s="66"/>
      <c r="E232" s="66"/>
      <c r="F232" s="2"/>
      <c r="G232" s="2"/>
      <c r="H232" s="2"/>
      <c r="I232" s="2"/>
    </row>
    <row r="233" spans="1:9" ht="12" customHeight="1">
      <c r="A233" s="341"/>
      <c r="B233" s="1"/>
      <c r="C233" s="1"/>
      <c r="D233" s="66"/>
      <c r="E233" s="66"/>
      <c r="F233" s="2"/>
      <c r="G233" s="2"/>
      <c r="H233" s="2"/>
      <c r="I233" s="2"/>
    </row>
    <row r="234" spans="1:9" ht="12" customHeight="1">
      <c r="A234" s="341"/>
      <c r="B234" s="1"/>
      <c r="C234" s="1"/>
      <c r="D234" s="66"/>
      <c r="E234" s="66"/>
      <c r="F234" s="2"/>
      <c r="G234" s="2"/>
      <c r="H234" s="2"/>
      <c r="I234" s="2"/>
    </row>
    <row r="235" spans="1:9" ht="12" customHeight="1">
      <c r="A235" s="341"/>
      <c r="B235" s="1"/>
      <c r="C235" s="1"/>
      <c r="D235" s="66"/>
      <c r="E235" s="66"/>
      <c r="F235" s="2"/>
      <c r="G235" s="2"/>
      <c r="H235" s="2"/>
      <c r="I235" s="2"/>
    </row>
    <row r="236" spans="1:9" ht="12" customHeight="1">
      <c r="A236" s="341"/>
      <c r="B236" s="1"/>
      <c r="C236" s="1"/>
      <c r="D236" s="66"/>
      <c r="E236" s="66"/>
      <c r="F236" s="2"/>
      <c r="G236" s="2"/>
      <c r="H236" s="2"/>
      <c r="I236" s="2"/>
    </row>
    <row r="237" spans="1:9" ht="12" customHeight="1">
      <c r="A237" s="341"/>
      <c r="B237" s="1"/>
      <c r="C237" s="1"/>
      <c r="D237" s="66"/>
      <c r="E237" s="66"/>
      <c r="F237" s="2"/>
      <c r="G237" s="2"/>
      <c r="H237" s="2"/>
      <c r="I237" s="2"/>
    </row>
    <row r="238" spans="1:9" ht="12" customHeight="1">
      <c r="A238" s="341"/>
      <c r="B238" s="1"/>
      <c r="C238" s="1"/>
      <c r="D238" s="66"/>
      <c r="E238" s="66"/>
      <c r="F238" s="2"/>
      <c r="G238" s="2"/>
      <c r="H238" s="2"/>
      <c r="I238" s="2"/>
    </row>
    <row r="239" spans="1:9" ht="12" customHeight="1">
      <c r="A239" s="341"/>
      <c r="B239" s="1"/>
      <c r="C239" s="1"/>
      <c r="D239" s="66"/>
      <c r="E239" s="66"/>
      <c r="F239" s="2"/>
      <c r="G239" s="2"/>
      <c r="H239" s="2"/>
      <c r="I239" s="2"/>
    </row>
    <row r="240" spans="1:9" ht="12" customHeight="1">
      <c r="A240" s="341"/>
      <c r="B240" s="1"/>
      <c r="C240" s="1"/>
      <c r="D240" s="66"/>
      <c r="E240" s="66"/>
      <c r="F240" s="2"/>
      <c r="G240" s="2"/>
      <c r="H240" s="2"/>
      <c r="I240" s="2"/>
    </row>
    <row r="241" spans="1:9" ht="12" customHeight="1">
      <c r="A241" s="341"/>
      <c r="B241" s="1"/>
      <c r="C241" s="1"/>
      <c r="D241" s="66"/>
      <c r="E241" s="66"/>
      <c r="F241" s="2"/>
      <c r="G241" s="2"/>
      <c r="H241" s="2"/>
      <c r="I241" s="2"/>
    </row>
    <row r="242" spans="1:9" ht="12" customHeight="1">
      <c r="A242" s="341"/>
      <c r="B242" s="1"/>
      <c r="C242" s="1"/>
      <c r="D242" s="66"/>
      <c r="E242" s="66"/>
      <c r="F242" s="2"/>
      <c r="G242" s="2"/>
      <c r="H242" s="2"/>
      <c r="I242" s="2"/>
    </row>
    <row r="243" spans="1:9" ht="12" customHeight="1">
      <c r="A243" s="341"/>
      <c r="B243" s="1"/>
      <c r="C243" s="1"/>
      <c r="D243" s="66"/>
      <c r="E243" s="66"/>
      <c r="F243" s="2"/>
      <c r="G243" s="2"/>
      <c r="H243" s="2"/>
      <c r="I243" s="2"/>
    </row>
    <row r="244" spans="1:9" ht="12" customHeight="1">
      <c r="A244" s="341"/>
      <c r="B244" s="1"/>
      <c r="C244" s="1"/>
      <c r="D244" s="66"/>
      <c r="E244" s="66"/>
      <c r="F244" s="2"/>
      <c r="G244" s="2"/>
      <c r="H244" s="2"/>
      <c r="I244" s="2"/>
    </row>
    <row r="245" spans="1:9" ht="12" customHeight="1">
      <c r="A245" s="341"/>
      <c r="B245" s="1"/>
      <c r="C245" s="1"/>
      <c r="D245" s="66"/>
      <c r="E245" s="66"/>
      <c r="F245" s="2"/>
      <c r="G245" s="2"/>
      <c r="H245" s="2"/>
      <c r="I245" s="2"/>
    </row>
    <row r="246" spans="1:9" ht="12" customHeight="1">
      <c r="A246" s="341"/>
      <c r="B246" s="1"/>
      <c r="C246" s="1"/>
      <c r="D246" s="66"/>
      <c r="E246" s="66"/>
      <c r="F246" s="2"/>
      <c r="G246" s="2"/>
      <c r="H246" s="2"/>
      <c r="I246" s="2"/>
    </row>
    <row r="247" spans="1:9" ht="12" customHeight="1">
      <c r="A247" s="341"/>
      <c r="B247" s="1"/>
      <c r="C247" s="1"/>
      <c r="D247" s="66"/>
      <c r="E247" s="66"/>
      <c r="F247" s="2"/>
      <c r="G247" s="2"/>
      <c r="H247" s="2"/>
      <c r="I247" s="2"/>
    </row>
    <row r="248" spans="1:9" ht="12" customHeight="1">
      <c r="A248" s="341"/>
      <c r="B248" s="1"/>
      <c r="C248" s="1"/>
      <c r="D248" s="66"/>
      <c r="E248" s="66"/>
      <c r="F248" s="2"/>
      <c r="G248" s="2"/>
      <c r="H248" s="2"/>
      <c r="I248" s="2"/>
    </row>
    <row r="249" spans="1:9" ht="12" customHeight="1">
      <c r="A249" s="341"/>
      <c r="B249" s="1"/>
      <c r="C249" s="1"/>
      <c r="D249" s="66"/>
      <c r="E249" s="66"/>
      <c r="F249" s="2"/>
      <c r="G249" s="2"/>
      <c r="H249" s="2"/>
      <c r="I249" s="2"/>
    </row>
    <row r="250" spans="1:9" ht="12" customHeight="1">
      <c r="A250" s="341"/>
      <c r="B250" s="1"/>
      <c r="C250" s="1"/>
      <c r="D250" s="66"/>
      <c r="E250" s="66"/>
      <c r="F250" s="2"/>
      <c r="G250" s="2"/>
      <c r="H250" s="2"/>
      <c r="I250" s="2"/>
    </row>
    <row r="251" spans="1:9" ht="12" customHeight="1">
      <c r="A251" s="341"/>
      <c r="B251" s="1"/>
      <c r="C251" s="1"/>
      <c r="D251" s="66"/>
      <c r="E251" s="66"/>
      <c r="F251" s="2"/>
      <c r="G251" s="2"/>
      <c r="H251" s="2"/>
      <c r="I251" s="2"/>
    </row>
    <row r="252" spans="1:9" ht="12" customHeight="1">
      <c r="A252" s="341"/>
      <c r="B252" s="1"/>
      <c r="C252" s="1"/>
      <c r="D252" s="66"/>
      <c r="E252" s="66"/>
      <c r="F252" s="2"/>
      <c r="G252" s="2"/>
      <c r="H252" s="2"/>
      <c r="I252" s="2"/>
    </row>
    <row r="253" spans="1:9" ht="12" customHeight="1">
      <c r="A253" s="341"/>
      <c r="B253" s="1"/>
      <c r="C253" s="1"/>
      <c r="D253" s="66"/>
      <c r="E253" s="66"/>
      <c r="F253" s="2"/>
      <c r="G253" s="2"/>
      <c r="H253" s="2"/>
      <c r="I253" s="2"/>
    </row>
    <row r="254" spans="1:9" ht="12" customHeight="1">
      <c r="A254" s="341"/>
      <c r="B254" s="1"/>
      <c r="C254" s="1"/>
      <c r="D254" s="66"/>
      <c r="E254" s="66"/>
      <c r="F254" s="2"/>
      <c r="G254" s="2"/>
      <c r="H254" s="2"/>
      <c r="I254" s="2"/>
    </row>
    <row r="255" spans="1:9" ht="12" customHeight="1">
      <c r="A255" s="341"/>
      <c r="B255" s="1"/>
      <c r="C255" s="1"/>
      <c r="D255" s="66"/>
      <c r="E255" s="66"/>
      <c r="F255" s="2"/>
      <c r="G255" s="2"/>
      <c r="H255" s="2"/>
      <c r="I255" s="2"/>
    </row>
    <row r="256" spans="1:9" ht="12" customHeight="1">
      <c r="A256" s="341"/>
      <c r="B256" s="1"/>
      <c r="C256" s="1"/>
      <c r="D256" s="66"/>
      <c r="E256" s="66"/>
      <c r="F256" s="2"/>
      <c r="G256" s="2"/>
      <c r="H256" s="2"/>
      <c r="I256" s="2"/>
    </row>
    <row r="257" spans="1:9" ht="12" customHeight="1">
      <c r="A257" s="341"/>
      <c r="B257" s="1"/>
      <c r="C257" s="1"/>
      <c r="D257" s="66"/>
      <c r="E257" s="66"/>
      <c r="F257" s="2"/>
      <c r="G257" s="2"/>
      <c r="H257" s="2"/>
      <c r="I257" s="2"/>
    </row>
    <row r="258" spans="1:9" ht="12" customHeight="1">
      <c r="A258" s="341"/>
      <c r="B258" s="1"/>
      <c r="C258" s="1"/>
      <c r="D258" s="66"/>
      <c r="E258" s="66"/>
      <c r="F258" s="2"/>
      <c r="G258" s="2"/>
      <c r="H258" s="2"/>
      <c r="I258" s="2"/>
    </row>
    <row r="259" spans="1:9" ht="12" customHeight="1">
      <c r="A259" s="341"/>
      <c r="B259" s="1"/>
      <c r="C259" s="1"/>
      <c r="D259" s="66"/>
      <c r="E259" s="66"/>
      <c r="F259" s="2"/>
      <c r="G259" s="2"/>
      <c r="H259" s="2"/>
      <c r="I259" s="2"/>
    </row>
    <row r="260" spans="1:9" ht="12" customHeight="1">
      <c r="A260" s="341"/>
      <c r="B260" s="1"/>
      <c r="C260" s="1"/>
      <c r="D260" s="66"/>
      <c r="E260" s="66"/>
      <c r="F260" s="2"/>
      <c r="G260" s="2"/>
      <c r="H260" s="2"/>
      <c r="I260" s="2"/>
    </row>
    <row r="261" spans="1:9" ht="12" customHeight="1">
      <c r="A261" s="341"/>
      <c r="B261" s="1"/>
      <c r="C261" s="1"/>
      <c r="D261" s="66"/>
      <c r="E261" s="66"/>
      <c r="F261" s="2"/>
      <c r="G261" s="2"/>
      <c r="H261" s="2"/>
      <c r="I261" s="2"/>
    </row>
    <row r="262" spans="1:9" ht="12" customHeight="1">
      <c r="A262" s="341"/>
      <c r="B262" s="1"/>
      <c r="C262" s="1"/>
      <c r="D262" s="66"/>
      <c r="E262" s="66"/>
      <c r="F262" s="2"/>
      <c r="G262" s="2"/>
      <c r="H262" s="2"/>
      <c r="I262" s="2"/>
    </row>
    <row r="263" spans="1:9" ht="12" customHeight="1">
      <c r="A263" s="341"/>
      <c r="B263" s="1"/>
      <c r="C263" s="1"/>
      <c r="D263" s="66"/>
      <c r="E263" s="66"/>
      <c r="F263" s="2"/>
      <c r="G263" s="2"/>
      <c r="H263" s="2"/>
      <c r="I263" s="2"/>
    </row>
    <row r="264" spans="1:9" ht="12" customHeight="1">
      <c r="A264" s="341"/>
      <c r="B264" s="1"/>
      <c r="C264" s="1"/>
      <c r="D264" s="66"/>
      <c r="E264" s="66"/>
      <c r="F264" s="2"/>
      <c r="G264" s="2"/>
      <c r="H264" s="2"/>
      <c r="I264" s="2"/>
    </row>
    <row r="265" spans="1:9" ht="12" customHeight="1">
      <c r="A265" s="341"/>
      <c r="B265" s="1"/>
      <c r="C265" s="1"/>
      <c r="D265" s="66"/>
      <c r="E265" s="66"/>
      <c r="F265" s="2"/>
      <c r="G265" s="2"/>
      <c r="H265" s="2"/>
      <c r="I265" s="2"/>
    </row>
    <row r="266" spans="1:9" ht="12" customHeight="1">
      <c r="A266" s="341"/>
      <c r="B266" s="1"/>
      <c r="C266" s="1"/>
      <c r="D266" s="66"/>
      <c r="E266" s="66"/>
      <c r="F266" s="2"/>
      <c r="G266" s="2"/>
      <c r="H266" s="2"/>
      <c r="I266" s="2"/>
    </row>
    <row r="267" spans="1:9" ht="12" customHeight="1">
      <c r="A267" s="341"/>
      <c r="B267" s="1"/>
      <c r="C267" s="1"/>
      <c r="D267" s="66"/>
      <c r="E267" s="66"/>
      <c r="F267" s="2"/>
      <c r="G267" s="2"/>
      <c r="H267" s="2"/>
      <c r="I267" s="2"/>
    </row>
    <row r="268" spans="1:9" ht="12" customHeight="1">
      <c r="A268" s="341"/>
      <c r="B268" s="1"/>
      <c r="C268" s="1"/>
      <c r="D268" s="66"/>
      <c r="E268" s="66"/>
      <c r="F268" s="2"/>
      <c r="G268" s="2"/>
      <c r="H268" s="2"/>
      <c r="I268" s="2"/>
    </row>
    <row r="269" spans="1:9" ht="12" customHeight="1">
      <c r="A269" s="341"/>
      <c r="B269" s="1"/>
      <c r="C269" s="1"/>
      <c r="D269" s="66"/>
      <c r="E269" s="66"/>
      <c r="F269" s="2"/>
      <c r="G269" s="2"/>
      <c r="H269" s="2"/>
      <c r="I269" s="2"/>
    </row>
    <row r="270" spans="1:9" ht="12" customHeight="1">
      <c r="A270" s="341"/>
      <c r="B270" s="1"/>
      <c r="C270" s="1"/>
      <c r="D270" s="66"/>
      <c r="E270" s="66"/>
      <c r="F270" s="2"/>
      <c r="G270" s="2"/>
      <c r="H270" s="2"/>
      <c r="I270" s="2"/>
    </row>
    <row r="271" spans="1:9" ht="12" customHeight="1">
      <c r="A271" s="341"/>
      <c r="B271" s="1"/>
      <c r="C271" s="1"/>
      <c r="D271" s="66"/>
      <c r="E271" s="66"/>
      <c r="F271" s="2"/>
      <c r="G271" s="2"/>
      <c r="H271" s="2"/>
      <c r="I271" s="2"/>
    </row>
    <row r="272" spans="1:9" ht="12" customHeight="1">
      <c r="A272" s="341"/>
      <c r="B272" s="1"/>
      <c r="C272" s="1"/>
      <c r="D272" s="66"/>
      <c r="E272" s="66"/>
      <c r="F272" s="2"/>
      <c r="G272" s="2"/>
      <c r="H272" s="2"/>
      <c r="I272" s="2"/>
    </row>
    <row r="273" spans="1:9" ht="12" customHeight="1">
      <c r="A273" s="341"/>
      <c r="B273" s="1"/>
      <c r="C273" s="1"/>
      <c r="D273" s="66"/>
      <c r="E273" s="66"/>
      <c r="F273" s="2"/>
      <c r="G273" s="2"/>
      <c r="H273" s="2"/>
      <c r="I273" s="2"/>
    </row>
    <row r="274" spans="1:9" ht="12" customHeight="1">
      <c r="A274" s="341"/>
      <c r="B274" s="1"/>
      <c r="C274" s="1"/>
      <c r="D274" s="66"/>
      <c r="E274" s="66"/>
      <c r="F274" s="2"/>
      <c r="G274" s="2"/>
      <c r="H274" s="2"/>
      <c r="I274" s="2"/>
    </row>
    <row r="275" spans="1:9" ht="12" customHeight="1">
      <c r="A275" s="341"/>
      <c r="B275" s="1"/>
      <c r="C275" s="1"/>
      <c r="D275" s="66"/>
      <c r="E275" s="66"/>
      <c r="F275" s="2"/>
      <c r="G275" s="2"/>
      <c r="H275" s="2"/>
      <c r="I275" s="2"/>
    </row>
    <row r="276" spans="1:9" ht="12" customHeight="1">
      <c r="A276" s="341"/>
      <c r="B276" s="1"/>
      <c r="C276" s="1"/>
      <c r="D276" s="66"/>
      <c r="E276" s="66"/>
      <c r="F276" s="2"/>
      <c r="G276" s="2"/>
      <c r="H276" s="2"/>
      <c r="I276" s="2"/>
    </row>
    <row r="277" spans="1:9" ht="12" customHeight="1">
      <c r="A277" s="341"/>
      <c r="B277" s="1"/>
      <c r="C277" s="1"/>
      <c r="D277" s="66"/>
      <c r="E277" s="66"/>
      <c r="F277" s="2"/>
      <c r="G277" s="2"/>
      <c r="H277" s="2"/>
      <c r="I277" s="2"/>
    </row>
    <row r="278" spans="1:9" ht="12" customHeight="1">
      <c r="A278" s="341"/>
      <c r="B278" s="1"/>
      <c r="C278" s="1"/>
      <c r="D278" s="66"/>
      <c r="E278" s="66"/>
      <c r="F278" s="2"/>
      <c r="G278" s="2"/>
      <c r="H278" s="2"/>
      <c r="I278" s="2"/>
    </row>
    <row r="279" spans="1:9" ht="12" customHeight="1">
      <c r="A279" s="341"/>
      <c r="B279" s="1"/>
      <c r="C279" s="1"/>
      <c r="D279" s="66"/>
      <c r="E279" s="66"/>
      <c r="F279" s="2"/>
      <c r="G279" s="2"/>
      <c r="H279" s="2"/>
      <c r="I279" s="2"/>
    </row>
    <row r="280" spans="1:9" ht="12" customHeight="1">
      <c r="A280" s="341"/>
      <c r="B280" s="1"/>
      <c r="C280" s="1"/>
      <c r="D280" s="66"/>
      <c r="E280" s="66"/>
      <c r="F280" s="2"/>
      <c r="G280" s="2"/>
      <c r="H280" s="2"/>
      <c r="I280" s="2"/>
    </row>
    <row r="281" spans="1:9" ht="12" customHeight="1">
      <c r="A281" s="341"/>
      <c r="B281" s="1"/>
      <c r="C281" s="1"/>
      <c r="D281" s="66"/>
      <c r="E281" s="66"/>
      <c r="F281" s="2"/>
      <c r="G281" s="2"/>
      <c r="H281" s="2"/>
      <c r="I281" s="2"/>
    </row>
    <row r="282" spans="1:9" ht="12" customHeight="1">
      <c r="A282" s="341"/>
      <c r="B282" s="1"/>
      <c r="C282" s="1"/>
      <c r="D282" s="66"/>
      <c r="E282" s="66"/>
      <c r="F282" s="2"/>
      <c r="G282" s="2"/>
      <c r="H282" s="2"/>
      <c r="I282" s="2"/>
    </row>
    <row r="283" spans="1:9" ht="12" customHeight="1">
      <c r="A283" s="341"/>
      <c r="B283" s="1"/>
      <c r="C283" s="1"/>
      <c r="D283" s="66"/>
      <c r="E283" s="66"/>
      <c r="F283" s="2"/>
      <c r="G283" s="2"/>
      <c r="H283" s="2"/>
      <c r="I283" s="2"/>
    </row>
    <row r="284" spans="1:9" ht="12" customHeight="1">
      <c r="A284" s="341"/>
      <c r="B284" s="1"/>
      <c r="C284" s="1"/>
      <c r="D284" s="66"/>
      <c r="E284" s="66"/>
      <c r="F284" s="2"/>
      <c r="G284" s="2"/>
      <c r="H284" s="2"/>
      <c r="I284" s="2"/>
    </row>
    <row r="285" spans="1:9" ht="12" customHeight="1">
      <c r="A285" s="341"/>
      <c r="B285" s="1"/>
      <c r="C285" s="1"/>
      <c r="D285" s="66"/>
      <c r="E285" s="66"/>
      <c r="F285" s="2"/>
      <c r="G285" s="2"/>
      <c r="H285" s="2"/>
      <c r="I285" s="2"/>
    </row>
    <row r="286" spans="1:9" ht="12" customHeight="1">
      <c r="A286" s="341"/>
      <c r="B286" s="1"/>
      <c r="C286" s="1"/>
      <c r="D286" s="66"/>
      <c r="E286" s="66"/>
      <c r="F286" s="2"/>
      <c r="G286" s="2"/>
      <c r="H286" s="2"/>
      <c r="I286" s="2"/>
    </row>
    <row r="287" spans="1:9" ht="12" customHeight="1">
      <c r="A287" s="341"/>
      <c r="B287" s="1"/>
      <c r="C287" s="1"/>
      <c r="D287" s="66"/>
      <c r="E287" s="66"/>
      <c r="F287" s="2"/>
      <c r="G287" s="2"/>
      <c r="H287" s="2"/>
      <c r="I287" s="2"/>
    </row>
    <row r="288" spans="1:9" ht="12" customHeight="1">
      <c r="A288" s="341"/>
      <c r="B288" s="1"/>
      <c r="C288" s="1"/>
      <c r="D288" s="66"/>
      <c r="E288" s="66"/>
      <c r="F288" s="2"/>
      <c r="G288" s="2"/>
      <c r="H288" s="2"/>
      <c r="I288" s="2"/>
    </row>
    <row r="289" spans="1:9" ht="12" customHeight="1">
      <c r="A289" s="341"/>
      <c r="B289" s="1"/>
      <c r="C289" s="1"/>
      <c r="D289" s="66"/>
      <c r="E289" s="66"/>
      <c r="F289" s="2"/>
      <c r="G289" s="2"/>
      <c r="H289" s="2"/>
      <c r="I289" s="2"/>
    </row>
    <row r="290" spans="1:9" ht="12" customHeight="1">
      <c r="A290" s="341"/>
      <c r="B290" s="1"/>
      <c r="C290" s="1"/>
      <c r="D290" s="66"/>
      <c r="E290" s="66"/>
      <c r="F290" s="2"/>
      <c r="G290" s="2"/>
      <c r="H290" s="2"/>
      <c r="I290" s="2"/>
    </row>
    <row r="291" spans="1:9" ht="12" customHeight="1">
      <c r="A291" s="341"/>
      <c r="B291" s="1"/>
      <c r="C291" s="1"/>
      <c r="D291" s="66"/>
      <c r="E291" s="66"/>
      <c r="F291" s="2"/>
      <c r="G291" s="2"/>
      <c r="H291" s="2"/>
      <c r="I291" s="2"/>
    </row>
    <row r="292" spans="1:9" ht="12" customHeight="1">
      <c r="A292" s="341"/>
      <c r="B292" s="1"/>
      <c r="C292" s="1"/>
      <c r="D292" s="66"/>
      <c r="E292" s="66"/>
      <c r="F292" s="2"/>
      <c r="G292" s="2"/>
      <c r="H292" s="2"/>
      <c r="I292" s="2"/>
    </row>
    <row r="293" spans="1:9" ht="12" customHeight="1">
      <c r="A293" s="341"/>
      <c r="B293" s="1"/>
      <c r="C293" s="1"/>
      <c r="D293" s="66"/>
      <c r="E293" s="66"/>
      <c r="F293" s="2"/>
      <c r="G293" s="2"/>
      <c r="H293" s="2"/>
      <c r="I293" s="2"/>
    </row>
    <row r="294" spans="1:9" ht="12" customHeight="1">
      <c r="A294" s="341"/>
      <c r="B294" s="1"/>
      <c r="C294" s="1"/>
      <c r="D294" s="66"/>
      <c r="E294" s="66"/>
      <c r="F294" s="2"/>
      <c r="G294" s="2"/>
      <c r="H294" s="2"/>
      <c r="I294" s="2"/>
    </row>
    <row r="295" spans="1:9" ht="12" customHeight="1">
      <c r="A295" s="341"/>
      <c r="B295" s="1"/>
      <c r="C295" s="1"/>
      <c r="D295" s="66"/>
      <c r="E295" s="66"/>
      <c r="F295" s="2"/>
      <c r="G295" s="2"/>
      <c r="H295" s="2"/>
      <c r="I295" s="2"/>
    </row>
    <row r="296" spans="1:9" ht="12" customHeight="1">
      <c r="A296" s="341"/>
      <c r="B296" s="1"/>
      <c r="C296" s="1"/>
      <c r="D296" s="66"/>
      <c r="E296" s="66"/>
      <c r="F296" s="2"/>
      <c r="G296" s="2"/>
      <c r="H296" s="2"/>
      <c r="I296" s="2"/>
    </row>
    <row r="297" spans="1:9" ht="12" customHeight="1">
      <c r="A297" s="341"/>
      <c r="B297" s="1"/>
      <c r="C297" s="1"/>
      <c r="D297" s="66"/>
      <c r="E297" s="66"/>
      <c r="F297" s="2"/>
      <c r="G297" s="2"/>
      <c r="H297" s="2"/>
      <c r="I297" s="2"/>
    </row>
    <row r="298" spans="1:9" ht="12" customHeight="1">
      <c r="A298" s="341"/>
      <c r="B298" s="1"/>
      <c r="C298" s="1"/>
      <c r="D298" s="66"/>
      <c r="E298" s="66"/>
      <c r="F298" s="2"/>
      <c r="G298" s="2"/>
      <c r="H298" s="2"/>
      <c r="I298" s="2"/>
    </row>
    <row r="299" spans="1:9" ht="12" customHeight="1">
      <c r="A299" s="341"/>
      <c r="B299" s="1"/>
      <c r="C299" s="1"/>
      <c r="D299" s="66"/>
      <c r="E299" s="66"/>
      <c r="F299" s="2"/>
      <c r="G299" s="2"/>
      <c r="H299" s="2"/>
      <c r="I299" s="2"/>
    </row>
    <row r="300" spans="1:9" ht="12" customHeight="1">
      <c r="A300" s="341"/>
      <c r="B300" s="1"/>
      <c r="C300" s="1"/>
      <c r="D300" s="66"/>
      <c r="E300" s="66"/>
      <c r="F300" s="2"/>
      <c r="G300" s="2"/>
      <c r="H300" s="2"/>
      <c r="I300" s="2"/>
    </row>
    <row r="301" spans="1:9" ht="12" customHeight="1">
      <c r="A301" s="341"/>
      <c r="B301" s="1"/>
      <c r="C301" s="1"/>
      <c r="D301" s="66"/>
      <c r="E301" s="66"/>
      <c r="F301" s="2"/>
      <c r="G301" s="2"/>
      <c r="H301" s="2"/>
      <c r="I301" s="2"/>
    </row>
    <row r="302" spans="1:9" ht="12" customHeight="1">
      <c r="A302" s="341"/>
      <c r="B302" s="1"/>
      <c r="C302" s="1"/>
      <c r="D302" s="66"/>
      <c r="E302" s="66"/>
      <c r="F302" s="2"/>
      <c r="G302" s="2"/>
      <c r="H302" s="2"/>
      <c r="I302" s="2"/>
    </row>
    <row r="303" spans="1:9" ht="12" customHeight="1">
      <c r="A303" s="341"/>
      <c r="B303" s="1"/>
      <c r="C303" s="1"/>
      <c r="D303" s="66"/>
      <c r="E303" s="66"/>
      <c r="F303" s="2"/>
      <c r="G303" s="2"/>
      <c r="H303" s="2"/>
      <c r="I303" s="2"/>
    </row>
    <row r="304" spans="1:9" ht="12" customHeight="1">
      <c r="A304" s="341"/>
      <c r="B304" s="1"/>
      <c r="C304" s="1"/>
      <c r="D304" s="66"/>
      <c r="E304" s="66"/>
      <c r="F304" s="2"/>
      <c r="G304" s="2"/>
      <c r="H304" s="2"/>
      <c r="I304" s="2"/>
    </row>
    <row r="305" spans="1:9" ht="12" customHeight="1">
      <c r="A305" s="341"/>
      <c r="B305" s="1"/>
      <c r="C305" s="1"/>
      <c r="D305" s="66"/>
      <c r="E305" s="66"/>
      <c r="F305" s="2"/>
      <c r="G305" s="2"/>
      <c r="H305" s="2"/>
      <c r="I305" s="2"/>
    </row>
    <row r="306" spans="1:9" ht="12" customHeight="1">
      <c r="A306" s="341"/>
      <c r="B306" s="1"/>
      <c r="C306" s="1"/>
      <c r="D306" s="66"/>
      <c r="E306" s="66"/>
      <c r="F306" s="2"/>
      <c r="G306" s="2"/>
      <c r="H306" s="2"/>
      <c r="I306" s="2"/>
    </row>
    <row r="307" spans="1:9" ht="12" customHeight="1">
      <c r="A307" s="341"/>
      <c r="B307" s="1"/>
      <c r="C307" s="1"/>
      <c r="D307" s="66"/>
      <c r="E307" s="66"/>
      <c r="F307" s="2"/>
      <c r="G307" s="2"/>
      <c r="H307" s="2"/>
      <c r="I307" s="2"/>
    </row>
    <row r="308" spans="1:9" ht="12" customHeight="1">
      <c r="A308" s="341"/>
      <c r="B308" s="1"/>
      <c r="C308" s="1"/>
      <c r="D308" s="66"/>
      <c r="E308" s="66"/>
      <c r="F308" s="2"/>
      <c r="G308" s="2"/>
      <c r="H308" s="2"/>
      <c r="I308" s="2"/>
    </row>
    <row r="309" spans="1:9" ht="12" customHeight="1">
      <c r="A309" s="341"/>
      <c r="B309" s="1"/>
      <c r="C309" s="1"/>
      <c r="D309" s="66"/>
      <c r="E309" s="66"/>
      <c r="F309" s="2"/>
      <c r="G309" s="2"/>
      <c r="H309" s="2"/>
      <c r="I309" s="2"/>
    </row>
    <row r="310" spans="1:9" ht="12" customHeight="1">
      <c r="A310" s="341"/>
      <c r="B310" s="1"/>
      <c r="C310" s="1"/>
      <c r="D310" s="66"/>
      <c r="E310" s="66"/>
      <c r="F310" s="2"/>
      <c r="G310" s="2"/>
      <c r="H310" s="2"/>
      <c r="I310" s="2"/>
    </row>
    <row r="311" spans="1:9" ht="12" customHeight="1">
      <c r="A311" s="341"/>
      <c r="B311" s="1"/>
      <c r="C311" s="1"/>
      <c r="D311" s="66"/>
      <c r="E311" s="66"/>
      <c r="F311" s="2"/>
      <c r="G311" s="2"/>
      <c r="H311" s="2"/>
      <c r="I311" s="2"/>
    </row>
    <row r="312" spans="1:9" ht="12" customHeight="1">
      <c r="A312" s="341"/>
      <c r="B312" s="1"/>
      <c r="C312" s="1"/>
      <c r="D312" s="66"/>
      <c r="E312" s="66"/>
      <c r="F312" s="2"/>
      <c r="G312" s="2"/>
      <c r="H312" s="2"/>
      <c r="I312" s="2"/>
    </row>
    <row r="313" spans="1:9" ht="12" customHeight="1">
      <c r="A313" s="341"/>
      <c r="B313" s="1"/>
      <c r="C313" s="1"/>
      <c r="D313" s="66"/>
      <c r="E313" s="66"/>
      <c r="F313" s="2"/>
      <c r="G313" s="2"/>
      <c r="H313" s="2"/>
      <c r="I313" s="2"/>
    </row>
    <row r="314" spans="1:9" ht="12" customHeight="1">
      <c r="A314" s="341"/>
      <c r="B314" s="1"/>
      <c r="C314" s="1"/>
      <c r="D314" s="66"/>
      <c r="E314" s="66"/>
      <c r="F314" s="2"/>
      <c r="G314" s="2"/>
      <c r="H314" s="2"/>
      <c r="I314" s="2"/>
    </row>
    <row r="315" spans="1:9" ht="12" customHeight="1">
      <c r="A315" s="341"/>
      <c r="B315" s="1"/>
      <c r="C315" s="1"/>
      <c r="D315" s="66"/>
      <c r="E315" s="66"/>
      <c r="F315" s="2"/>
      <c r="G315" s="2"/>
      <c r="H315" s="2"/>
      <c r="I315" s="2"/>
    </row>
    <row r="316" spans="1:9" ht="12" customHeight="1">
      <c r="A316" s="341"/>
      <c r="B316" s="1"/>
      <c r="C316" s="1"/>
      <c r="D316" s="66"/>
      <c r="E316" s="66"/>
      <c r="F316" s="2"/>
      <c r="G316" s="2"/>
      <c r="H316" s="2"/>
      <c r="I316" s="2"/>
    </row>
    <row r="317" spans="1:9" ht="12" customHeight="1">
      <c r="A317" s="341"/>
      <c r="B317" s="1"/>
      <c r="C317" s="1"/>
      <c r="D317" s="66"/>
      <c r="E317" s="66"/>
      <c r="F317" s="2"/>
      <c r="G317" s="2"/>
      <c r="H317" s="2"/>
      <c r="I317" s="2"/>
    </row>
    <row r="318" spans="1:9" ht="12" customHeight="1">
      <c r="A318" s="341"/>
      <c r="B318" s="1"/>
      <c r="C318" s="1"/>
      <c r="D318" s="66"/>
      <c r="E318" s="66"/>
      <c r="F318" s="2"/>
      <c r="G318" s="2"/>
      <c r="H318" s="2"/>
      <c r="I318" s="2"/>
    </row>
    <row r="319" spans="1:9" ht="12" customHeight="1">
      <c r="A319" s="341"/>
      <c r="B319" s="1"/>
      <c r="C319" s="1"/>
      <c r="D319" s="66"/>
      <c r="E319" s="66"/>
      <c r="F319" s="2"/>
      <c r="G319" s="2"/>
      <c r="H319" s="2"/>
      <c r="I319" s="2"/>
    </row>
    <row r="320" spans="1:9" ht="12" customHeight="1">
      <c r="A320" s="341"/>
      <c r="B320" s="1"/>
      <c r="C320" s="1"/>
      <c r="D320" s="66"/>
      <c r="E320" s="66"/>
      <c r="F320" s="2"/>
      <c r="G320" s="2"/>
      <c r="H320" s="2"/>
      <c r="I320" s="2"/>
    </row>
    <row r="321" spans="1:9" ht="12" customHeight="1">
      <c r="B321" s="1"/>
      <c r="C321" s="1"/>
      <c r="D321" s="66"/>
      <c r="E321" s="66"/>
      <c r="F321" s="2"/>
      <c r="G321" s="2"/>
      <c r="H321" s="2"/>
      <c r="I321" s="2"/>
    </row>
    <row r="322" spans="1:9" ht="12" customHeight="1">
      <c r="B322" s="1"/>
      <c r="C322" s="1"/>
      <c r="D322" s="66"/>
      <c r="E322" s="66"/>
      <c r="F322" s="2"/>
      <c r="G322" s="2"/>
      <c r="H322" s="2"/>
      <c r="I322" s="2"/>
    </row>
    <row r="323" spans="1:9" ht="12" customHeight="1">
      <c r="B323" s="1"/>
      <c r="C323" s="1"/>
      <c r="D323" s="66"/>
      <c r="E323" s="66"/>
      <c r="F323" s="2"/>
      <c r="G323" s="2"/>
      <c r="H323" s="2"/>
      <c r="I323" s="2"/>
    </row>
    <row r="324" spans="1:9" ht="12" customHeight="1">
      <c r="B324" s="1"/>
      <c r="C324" s="1"/>
      <c r="D324" s="66"/>
      <c r="E324" s="66"/>
      <c r="F324" s="2"/>
      <c r="G324" s="2"/>
      <c r="H324" s="2"/>
      <c r="I324" s="2"/>
    </row>
    <row r="325" spans="1:9" ht="12" customHeight="1">
      <c r="B325" s="1"/>
      <c r="C325" s="1"/>
      <c r="D325" s="66"/>
      <c r="E325" s="66"/>
      <c r="F325" s="2"/>
      <c r="G325" s="2"/>
      <c r="H325" s="2"/>
      <c r="I325" s="2"/>
    </row>
    <row r="326" spans="1:9" ht="12" customHeight="1">
      <c r="B326" s="1"/>
      <c r="C326" s="1"/>
      <c r="D326" s="66"/>
      <c r="E326" s="66"/>
      <c r="F326" s="2"/>
      <c r="G326" s="2"/>
      <c r="H326" s="2"/>
      <c r="I326" s="2"/>
    </row>
    <row r="327" spans="1:9" ht="12" customHeight="1">
      <c r="B327" s="1"/>
      <c r="C327" s="1"/>
      <c r="D327" s="66"/>
      <c r="E327" s="66"/>
      <c r="F327" s="2"/>
      <c r="G327" s="2"/>
      <c r="H327" s="2"/>
      <c r="I327" s="2"/>
    </row>
    <row r="328" spans="1:9" ht="12" customHeight="1">
      <c r="B328" s="1"/>
      <c r="C328" s="1"/>
      <c r="D328" s="66"/>
      <c r="E328" s="66"/>
      <c r="F328" s="2"/>
      <c r="G328" s="2"/>
      <c r="H328" s="2"/>
      <c r="I328" s="2"/>
    </row>
    <row r="329" spans="1:9" ht="12" customHeight="1">
      <c r="B329" s="1"/>
      <c r="C329" s="1"/>
      <c r="D329" s="66"/>
      <c r="E329" s="66"/>
      <c r="F329" s="2"/>
      <c r="G329" s="2"/>
      <c r="H329" s="2"/>
      <c r="I329" s="2"/>
    </row>
    <row r="330" spans="1:9" ht="12" customHeight="1">
      <c r="A330" s="151"/>
      <c r="B330" s="1"/>
      <c r="C330" s="1"/>
      <c r="D330" s="66"/>
      <c r="E330" s="66"/>
      <c r="F330" s="2"/>
      <c r="G330" s="2"/>
      <c r="H330" s="2"/>
      <c r="I330" s="2"/>
    </row>
    <row r="331" spans="1:9" ht="12" customHeight="1">
      <c r="A331" s="151"/>
      <c r="B331" s="1"/>
      <c r="C331" s="1"/>
      <c r="D331" s="66"/>
      <c r="E331" s="66"/>
      <c r="F331" s="2"/>
      <c r="G331" s="2"/>
      <c r="H331" s="2"/>
      <c r="I331" s="2"/>
    </row>
    <row r="332" spans="1:9" ht="12" customHeight="1">
      <c r="A332" s="151"/>
      <c r="B332" s="1"/>
      <c r="C332" s="1"/>
      <c r="D332" s="66"/>
      <c r="E332" s="66"/>
      <c r="F332" s="2"/>
      <c r="G332" s="2"/>
      <c r="H332" s="2"/>
      <c r="I332" s="2"/>
    </row>
    <row r="333" spans="1:9" ht="12" customHeight="1">
      <c r="A333" s="151"/>
      <c r="B333" s="1"/>
      <c r="C333" s="1"/>
      <c r="D333" s="66"/>
      <c r="E333" s="66"/>
      <c r="F333" s="2"/>
      <c r="G333" s="2"/>
      <c r="H333" s="2"/>
      <c r="I333" s="2"/>
    </row>
    <row r="334" spans="1:9" ht="12" customHeight="1">
      <c r="A334" s="151"/>
      <c r="B334" s="1"/>
      <c r="C334" s="1"/>
      <c r="D334" s="66"/>
      <c r="E334" s="66"/>
      <c r="F334" s="2"/>
      <c r="G334" s="2"/>
      <c r="H334" s="2"/>
      <c r="I334" s="2"/>
    </row>
    <row r="335" spans="1:9" ht="12" customHeight="1">
      <c r="A335" s="151"/>
      <c r="B335" s="1"/>
      <c r="C335" s="1"/>
      <c r="D335" s="66"/>
      <c r="E335" s="66"/>
      <c r="F335" s="2"/>
      <c r="G335" s="2"/>
      <c r="H335" s="2"/>
      <c r="I335" s="2"/>
    </row>
    <row r="336" spans="1:9" ht="12" customHeight="1">
      <c r="A336" s="151"/>
      <c r="B336" s="1"/>
      <c r="C336" s="1"/>
      <c r="D336" s="66"/>
      <c r="E336" s="66"/>
      <c r="F336" s="2"/>
      <c r="G336" s="2"/>
      <c r="H336" s="2"/>
      <c r="I336" s="2"/>
    </row>
    <row r="337" spans="1:9" ht="12" customHeight="1">
      <c r="A337" s="151"/>
      <c r="B337" s="1"/>
      <c r="C337" s="1"/>
      <c r="D337" s="66"/>
      <c r="E337" s="66"/>
      <c r="F337" s="2"/>
      <c r="G337" s="2"/>
      <c r="H337" s="2"/>
      <c r="I337" s="2"/>
    </row>
    <row r="338" spans="1:9" ht="12" customHeight="1">
      <c r="A338" s="151"/>
      <c r="B338" s="1"/>
      <c r="C338" s="1"/>
      <c r="D338" s="66"/>
      <c r="E338" s="66"/>
      <c r="F338" s="2"/>
      <c r="G338" s="2"/>
      <c r="H338" s="2"/>
      <c r="I338" s="2"/>
    </row>
    <row r="339" spans="1:9" ht="12" customHeight="1">
      <c r="A339" s="151"/>
      <c r="B339" s="1"/>
      <c r="C339" s="1"/>
      <c r="D339" s="66"/>
      <c r="E339" s="66"/>
      <c r="F339" s="2"/>
      <c r="G339" s="2"/>
      <c r="H339" s="2"/>
      <c r="I339" s="2"/>
    </row>
    <row r="340" spans="1:9" ht="12" customHeight="1">
      <c r="A340" s="151"/>
      <c r="B340" s="1"/>
      <c r="C340" s="1"/>
      <c r="D340" s="66"/>
      <c r="E340" s="66"/>
      <c r="F340" s="2"/>
      <c r="G340" s="2"/>
      <c r="H340" s="2"/>
      <c r="I340" s="2"/>
    </row>
    <row r="341" spans="1:9" ht="12" customHeight="1">
      <c r="A341" s="151"/>
      <c r="B341" s="1"/>
      <c r="C341" s="1"/>
      <c r="D341" s="66"/>
      <c r="E341" s="66"/>
      <c r="F341" s="2"/>
      <c r="G341" s="2"/>
      <c r="H341" s="2"/>
      <c r="I341" s="2"/>
    </row>
    <row r="342" spans="1:9" ht="12" customHeight="1">
      <c r="A342" s="151"/>
      <c r="B342" s="1"/>
      <c r="C342" s="1"/>
      <c r="D342" s="66"/>
      <c r="E342" s="66"/>
      <c r="F342" s="2"/>
      <c r="G342" s="2"/>
      <c r="H342" s="2"/>
      <c r="I342" s="2"/>
    </row>
    <row r="343" spans="1:9" ht="12" customHeight="1">
      <c r="A343" s="151"/>
      <c r="B343" s="1"/>
      <c r="C343" s="1"/>
      <c r="D343" s="66"/>
      <c r="E343" s="66"/>
      <c r="F343" s="2"/>
      <c r="G343" s="2"/>
      <c r="H343" s="2"/>
      <c r="I343" s="2"/>
    </row>
    <row r="344" spans="1:9" ht="12" customHeight="1">
      <c r="A344" s="151"/>
      <c r="B344" s="1"/>
      <c r="C344" s="1"/>
      <c r="D344" s="66"/>
      <c r="E344" s="66"/>
      <c r="F344" s="2"/>
      <c r="G344" s="2"/>
      <c r="H344" s="2"/>
      <c r="I344" s="2"/>
    </row>
    <row r="345" spans="1:9" ht="12" customHeight="1">
      <c r="A345" s="151"/>
      <c r="B345" s="1"/>
      <c r="C345" s="1"/>
      <c r="D345" s="66"/>
      <c r="E345" s="66"/>
      <c r="F345" s="2"/>
      <c r="G345" s="2"/>
      <c r="H345" s="2"/>
      <c r="I345" s="2"/>
    </row>
    <row r="346" spans="1:9" ht="12" customHeight="1">
      <c r="A346" s="151"/>
      <c r="B346" s="1"/>
      <c r="C346" s="1"/>
      <c r="D346" s="66"/>
      <c r="E346" s="66"/>
      <c r="F346" s="2"/>
      <c r="G346" s="2"/>
      <c r="H346" s="2"/>
      <c r="I346" s="2"/>
    </row>
    <row r="347" spans="1:9" ht="12" customHeight="1">
      <c r="A347" s="151"/>
      <c r="B347" s="1"/>
      <c r="C347" s="1"/>
      <c r="D347" s="66"/>
      <c r="E347" s="66"/>
      <c r="F347" s="2"/>
      <c r="G347" s="2"/>
      <c r="H347" s="2"/>
      <c r="I347" s="2"/>
    </row>
    <row r="348" spans="1:9" ht="12" customHeight="1">
      <c r="A348" s="151"/>
      <c r="B348" s="1"/>
      <c r="C348" s="1"/>
      <c r="D348" s="66"/>
      <c r="E348" s="66"/>
      <c r="F348" s="2"/>
      <c r="G348" s="2"/>
      <c r="H348" s="2"/>
      <c r="I348" s="2"/>
    </row>
    <row r="349" spans="1:9" ht="12" customHeight="1">
      <c r="A349" s="151"/>
      <c r="B349" s="1"/>
      <c r="C349" s="1"/>
      <c r="D349" s="66"/>
      <c r="E349" s="66"/>
      <c r="F349" s="2"/>
      <c r="G349" s="2"/>
      <c r="H349" s="2"/>
      <c r="I349" s="2"/>
    </row>
    <row r="350" spans="1:9" ht="12" customHeight="1">
      <c r="A350" s="151"/>
      <c r="B350" s="1"/>
      <c r="C350" s="1"/>
      <c r="D350" s="66"/>
      <c r="E350" s="66"/>
      <c r="F350" s="2"/>
      <c r="G350" s="2"/>
      <c r="H350" s="2"/>
      <c r="I350" s="2"/>
    </row>
    <row r="351" spans="1:9" ht="12" customHeight="1">
      <c r="A351" s="151"/>
      <c r="B351" s="1"/>
      <c r="C351" s="1"/>
      <c r="D351" s="66"/>
      <c r="E351" s="66"/>
      <c r="F351" s="2"/>
      <c r="G351" s="2"/>
      <c r="H351" s="2"/>
      <c r="I351" s="2"/>
    </row>
    <row r="352" spans="1:9" ht="12" customHeight="1">
      <c r="A352" s="151"/>
      <c r="B352" s="1"/>
      <c r="C352" s="1"/>
      <c r="D352" s="66"/>
      <c r="E352" s="66"/>
      <c r="F352" s="2"/>
      <c r="G352" s="2"/>
      <c r="H352" s="2"/>
      <c r="I352" s="2"/>
    </row>
    <row r="353" spans="1:9" ht="12" customHeight="1">
      <c r="A353" s="151"/>
      <c r="B353" s="1"/>
      <c r="C353" s="1"/>
      <c r="D353" s="66"/>
      <c r="E353" s="66"/>
      <c r="F353" s="2"/>
      <c r="G353" s="2"/>
      <c r="H353" s="2"/>
      <c r="I353" s="2"/>
    </row>
    <row r="354" spans="1:9" ht="12" customHeight="1">
      <c r="A354" s="151"/>
      <c r="B354" s="1"/>
      <c r="C354" s="1"/>
      <c r="D354" s="66"/>
      <c r="E354" s="66"/>
      <c r="F354" s="2"/>
      <c r="G354" s="2"/>
      <c r="H354" s="2"/>
      <c r="I354" s="2"/>
    </row>
    <row r="355" spans="1:9" ht="12" customHeight="1">
      <c r="A355" s="151"/>
      <c r="B355" s="1"/>
      <c r="C355" s="1"/>
      <c r="D355" s="66"/>
      <c r="E355" s="66"/>
      <c r="F355" s="2"/>
      <c r="G355" s="2"/>
      <c r="H355" s="2"/>
      <c r="I355" s="2"/>
    </row>
    <row r="356" spans="1:9" ht="12" customHeight="1">
      <c r="A356" s="151"/>
      <c r="B356" s="1"/>
      <c r="C356" s="1"/>
      <c r="D356" s="66"/>
      <c r="E356" s="66"/>
      <c r="F356" s="2"/>
      <c r="G356" s="2"/>
      <c r="H356" s="2"/>
      <c r="I356" s="2"/>
    </row>
    <row r="357" spans="1:9" ht="12" customHeight="1">
      <c r="A357" s="151"/>
      <c r="B357" s="1"/>
      <c r="C357" s="1"/>
      <c r="D357" s="66"/>
      <c r="E357" s="66"/>
      <c r="F357" s="2"/>
      <c r="G357" s="2"/>
      <c r="H357" s="2"/>
      <c r="I357" s="2"/>
    </row>
    <row r="358" spans="1:9" ht="12" customHeight="1">
      <c r="A358" s="151"/>
      <c r="B358" s="1"/>
      <c r="C358" s="1"/>
      <c r="D358" s="66"/>
      <c r="E358" s="66"/>
      <c r="F358" s="2"/>
      <c r="G358" s="2"/>
      <c r="H358" s="2"/>
      <c r="I358" s="2"/>
    </row>
    <row r="359" spans="1:9" ht="12" customHeight="1">
      <c r="A359" s="151"/>
      <c r="B359" s="1"/>
      <c r="C359" s="1"/>
      <c r="D359" s="66"/>
      <c r="E359" s="66"/>
      <c r="F359" s="2"/>
      <c r="G359" s="2"/>
      <c r="H359" s="2"/>
      <c r="I359" s="2"/>
    </row>
    <row r="360" spans="1:9" ht="12" customHeight="1">
      <c r="A360" s="151"/>
      <c r="B360" s="1"/>
      <c r="C360" s="1"/>
      <c r="D360" s="66"/>
      <c r="E360" s="66"/>
      <c r="F360" s="2"/>
      <c r="G360" s="2"/>
      <c r="H360" s="2"/>
      <c r="I360" s="2"/>
    </row>
    <row r="361" spans="1:9" ht="12" customHeight="1">
      <c r="A361" s="151"/>
      <c r="B361" s="1"/>
      <c r="C361" s="1"/>
      <c r="D361" s="66"/>
      <c r="E361" s="66"/>
      <c r="F361" s="2"/>
      <c r="G361" s="2"/>
      <c r="H361" s="2"/>
      <c r="I361" s="2"/>
    </row>
    <row r="362" spans="1:9" ht="12" customHeight="1">
      <c r="A362" s="151"/>
      <c r="B362" s="1"/>
      <c r="C362" s="1"/>
      <c r="D362" s="66"/>
      <c r="E362" s="66"/>
      <c r="F362" s="2"/>
      <c r="G362" s="2"/>
      <c r="H362" s="2"/>
      <c r="I362" s="2"/>
    </row>
    <row r="363" spans="1:9" ht="12" customHeight="1">
      <c r="A363" s="151"/>
      <c r="B363" s="1"/>
      <c r="C363" s="1"/>
      <c r="D363" s="66"/>
      <c r="E363" s="66"/>
      <c r="F363" s="2"/>
      <c r="G363" s="2"/>
      <c r="H363" s="2"/>
      <c r="I363" s="2"/>
    </row>
    <row r="364" spans="1:9" ht="12" customHeight="1">
      <c r="A364" s="151"/>
      <c r="B364" s="1"/>
      <c r="C364" s="1"/>
      <c r="D364" s="66"/>
      <c r="E364" s="66"/>
      <c r="F364" s="2"/>
      <c r="G364" s="2"/>
      <c r="H364" s="2"/>
      <c r="I364" s="2"/>
    </row>
    <row r="365" spans="1:9" ht="12" customHeight="1">
      <c r="A365" s="151"/>
      <c r="B365" s="1"/>
      <c r="C365" s="1"/>
      <c r="D365" s="66"/>
      <c r="E365" s="66"/>
      <c r="F365" s="2"/>
      <c r="G365" s="2"/>
      <c r="H365" s="2"/>
      <c r="I365" s="2"/>
    </row>
    <row r="366" spans="1:9" ht="12" customHeight="1">
      <c r="A366" s="151"/>
      <c r="B366" s="1"/>
      <c r="C366" s="1"/>
      <c r="D366" s="66"/>
      <c r="E366" s="66"/>
      <c r="F366" s="2"/>
      <c r="G366" s="2"/>
      <c r="H366" s="2"/>
      <c r="I366" s="2"/>
    </row>
    <row r="367" spans="1:9" ht="12" customHeight="1">
      <c r="A367" s="151"/>
      <c r="B367" s="1"/>
      <c r="C367" s="1"/>
      <c r="D367" s="66"/>
      <c r="E367" s="66"/>
      <c r="F367" s="2"/>
      <c r="G367" s="2"/>
      <c r="H367" s="2"/>
      <c r="I367" s="2"/>
    </row>
    <row r="368" spans="1:9" ht="12" customHeight="1">
      <c r="A368" s="151"/>
      <c r="B368" s="1"/>
      <c r="C368" s="1"/>
      <c r="D368" s="66"/>
      <c r="E368" s="66"/>
      <c r="F368" s="2"/>
      <c r="G368" s="2"/>
      <c r="H368" s="2"/>
      <c r="I368" s="2"/>
    </row>
    <row r="369" spans="1:9" ht="12" customHeight="1">
      <c r="A369" s="151"/>
      <c r="B369" s="1"/>
      <c r="C369" s="1"/>
      <c r="D369" s="66"/>
      <c r="E369" s="66"/>
      <c r="F369" s="2"/>
      <c r="G369" s="2"/>
      <c r="H369" s="2"/>
      <c r="I369" s="2"/>
    </row>
    <row r="370" spans="1:9" ht="12" customHeight="1">
      <c r="A370" s="151"/>
      <c r="B370" s="1"/>
      <c r="C370" s="1"/>
      <c r="D370" s="66"/>
      <c r="E370" s="66"/>
      <c r="F370" s="2"/>
      <c r="G370" s="2"/>
      <c r="H370" s="2"/>
      <c r="I370" s="2"/>
    </row>
    <row r="371" spans="1:9" ht="12" customHeight="1">
      <c r="A371" s="151"/>
      <c r="B371" s="1"/>
      <c r="C371" s="1"/>
      <c r="D371" s="66"/>
      <c r="E371" s="66"/>
      <c r="F371" s="2"/>
      <c r="G371" s="2"/>
      <c r="H371" s="2"/>
      <c r="I371" s="2"/>
    </row>
    <row r="372" spans="1:9" ht="12" customHeight="1">
      <c r="A372" s="151"/>
      <c r="B372" s="1"/>
      <c r="C372" s="1"/>
      <c r="D372" s="66"/>
      <c r="E372" s="66"/>
      <c r="F372" s="2"/>
      <c r="G372" s="2"/>
      <c r="H372" s="2"/>
      <c r="I372" s="2"/>
    </row>
    <row r="373" spans="1:9" ht="12" customHeight="1">
      <c r="A373" s="151"/>
      <c r="B373" s="1"/>
      <c r="C373" s="1"/>
      <c r="D373" s="66"/>
      <c r="E373" s="66"/>
      <c r="F373" s="2"/>
      <c r="G373" s="2"/>
      <c r="H373" s="2"/>
      <c r="I373" s="2"/>
    </row>
    <row r="374" spans="1:9" ht="12" customHeight="1">
      <c r="A374" s="151"/>
      <c r="B374" s="1"/>
      <c r="C374" s="1"/>
      <c r="D374" s="66"/>
      <c r="E374" s="66"/>
      <c r="F374" s="2"/>
      <c r="G374" s="2"/>
      <c r="H374" s="2"/>
      <c r="I374" s="2"/>
    </row>
    <row r="375" spans="1:9" ht="12" customHeight="1">
      <c r="A375" s="151"/>
      <c r="B375" s="1"/>
      <c r="C375" s="1"/>
      <c r="D375" s="66"/>
      <c r="E375" s="66"/>
      <c r="F375" s="2"/>
      <c r="G375" s="2"/>
      <c r="H375" s="2"/>
      <c r="I375" s="2"/>
    </row>
    <row r="376" spans="1:9" ht="12" customHeight="1">
      <c r="A376" s="151"/>
      <c r="B376" s="1"/>
      <c r="C376" s="1"/>
      <c r="D376" s="66"/>
      <c r="E376" s="66"/>
      <c r="F376" s="2"/>
      <c r="G376" s="2"/>
      <c r="H376" s="2"/>
      <c r="I376" s="2"/>
    </row>
    <row r="377" spans="1:9" ht="12" customHeight="1">
      <c r="A377" s="151"/>
      <c r="B377" s="1"/>
      <c r="C377" s="1"/>
      <c r="D377" s="66"/>
      <c r="E377" s="66"/>
      <c r="F377" s="2"/>
      <c r="G377" s="2"/>
      <c r="H377" s="2"/>
      <c r="I377" s="2"/>
    </row>
    <row r="378" spans="1:9" ht="12" customHeight="1">
      <c r="A378" s="151"/>
      <c r="B378" s="1"/>
      <c r="C378" s="1"/>
      <c r="D378" s="66"/>
      <c r="E378" s="66"/>
      <c r="F378" s="2"/>
      <c r="G378" s="2"/>
      <c r="H378" s="2"/>
      <c r="I378" s="2"/>
    </row>
    <row r="379" spans="1:9" ht="12" customHeight="1">
      <c r="A379" s="151"/>
      <c r="B379" s="1"/>
      <c r="C379" s="1"/>
      <c r="D379" s="66"/>
      <c r="E379" s="66"/>
      <c r="F379" s="2"/>
      <c r="G379" s="2"/>
      <c r="H379" s="2"/>
      <c r="I379" s="2"/>
    </row>
    <row r="380" spans="1:9" ht="12" customHeight="1">
      <c r="A380" s="151"/>
      <c r="B380" s="1"/>
      <c r="C380" s="1"/>
      <c r="D380" s="66"/>
      <c r="E380" s="66"/>
      <c r="F380" s="2"/>
      <c r="G380" s="2"/>
      <c r="H380" s="2"/>
      <c r="I380" s="2"/>
    </row>
    <row r="381" spans="1:9" ht="12" customHeight="1">
      <c r="A381" s="151"/>
      <c r="B381" s="1"/>
      <c r="C381" s="1"/>
      <c r="D381" s="66"/>
      <c r="E381" s="66"/>
      <c r="F381" s="2"/>
      <c r="G381" s="2"/>
      <c r="H381" s="2"/>
      <c r="I381" s="2"/>
    </row>
    <row r="382" spans="1:9" ht="12" customHeight="1">
      <c r="A382" s="151"/>
      <c r="B382" s="1"/>
      <c r="C382" s="1"/>
      <c r="D382" s="66"/>
      <c r="E382" s="66"/>
      <c r="F382" s="2"/>
      <c r="G382" s="2"/>
      <c r="H382" s="2"/>
      <c r="I382" s="2"/>
    </row>
    <row r="383" spans="1:9" ht="12" customHeight="1">
      <c r="A383" s="151"/>
      <c r="B383" s="1"/>
      <c r="C383" s="1"/>
      <c r="D383" s="66"/>
      <c r="E383" s="66"/>
      <c r="F383" s="2"/>
      <c r="G383" s="2"/>
      <c r="H383" s="2"/>
      <c r="I383" s="2"/>
    </row>
    <row r="384" spans="1:9" ht="12" customHeight="1">
      <c r="A384" s="151"/>
      <c r="B384" s="1"/>
      <c r="C384" s="1"/>
      <c r="D384" s="66"/>
      <c r="E384" s="66"/>
      <c r="F384" s="2"/>
      <c r="G384" s="2"/>
      <c r="H384" s="2"/>
      <c r="I384" s="2"/>
    </row>
    <row r="385" spans="1:9" ht="12" customHeight="1">
      <c r="A385" s="151"/>
      <c r="B385" s="1"/>
      <c r="C385" s="1"/>
      <c r="D385" s="66"/>
      <c r="E385" s="66"/>
      <c r="F385" s="2"/>
      <c r="G385" s="2"/>
      <c r="H385" s="2"/>
      <c r="I385" s="2"/>
    </row>
    <row r="386" spans="1:9" ht="12" customHeight="1">
      <c r="A386" s="151"/>
      <c r="B386" s="1"/>
      <c r="C386" s="1"/>
      <c r="D386" s="66"/>
      <c r="E386" s="66"/>
      <c r="F386" s="2"/>
      <c r="G386" s="2"/>
      <c r="H386" s="2"/>
      <c r="I386" s="2"/>
    </row>
    <row r="387" spans="1:9" ht="12" customHeight="1">
      <c r="A387" s="151"/>
      <c r="B387" s="1"/>
      <c r="C387" s="1"/>
      <c r="D387" s="66"/>
      <c r="E387" s="66"/>
      <c r="F387" s="2"/>
      <c r="G387" s="2"/>
      <c r="H387" s="2"/>
      <c r="I387" s="2"/>
    </row>
    <row r="388" spans="1:9" ht="12" customHeight="1">
      <c r="A388" s="151"/>
      <c r="B388" s="1"/>
      <c r="C388" s="1"/>
      <c r="D388" s="66"/>
      <c r="E388" s="66"/>
      <c r="F388" s="2"/>
      <c r="G388" s="2"/>
      <c r="H388" s="2"/>
      <c r="I388" s="2"/>
    </row>
    <row r="389" spans="1:9" ht="12" customHeight="1">
      <c r="A389" s="151"/>
      <c r="B389" s="1"/>
      <c r="C389" s="1"/>
      <c r="D389" s="66"/>
      <c r="E389" s="66"/>
      <c r="F389" s="2"/>
      <c r="G389" s="2"/>
      <c r="H389" s="2"/>
      <c r="I389" s="2"/>
    </row>
    <row r="390" spans="1:9" ht="12" customHeight="1">
      <c r="A390" s="151"/>
      <c r="B390" s="1"/>
      <c r="C390" s="1"/>
      <c r="D390" s="66"/>
      <c r="E390" s="66"/>
      <c r="F390" s="2"/>
      <c r="G390" s="2"/>
      <c r="H390" s="2"/>
      <c r="I390" s="2"/>
    </row>
    <row r="391" spans="1:9" ht="12" customHeight="1">
      <c r="A391" s="151"/>
      <c r="B391" s="1"/>
      <c r="C391" s="1"/>
      <c r="D391" s="66"/>
      <c r="E391" s="66"/>
      <c r="F391" s="2"/>
      <c r="G391" s="2"/>
      <c r="H391" s="2"/>
      <c r="I391" s="2"/>
    </row>
    <row r="392" spans="1:9" ht="12" customHeight="1">
      <c r="A392" s="151"/>
      <c r="B392" s="1"/>
      <c r="C392" s="1"/>
      <c r="D392" s="66"/>
      <c r="E392" s="66"/>
      <c r="F392" s="2"/>
      <c r="G392" s="2"/>
      <c r="H392" s="2"/>
      <c r="I392" s="2"/>
    </row>
    <row r="393" spans="1:9" ht="12" customHeight="1">
      <c r="A393" s="151"/>
      <c r="B393" s="1"/>
      <c r="C393" s="1"/>
      <c r="D393" s="66"/>
      <c r="E393" s="66"/>
      <c r="F393" s="2"/>
      <c r="G393" s="2"/>
      <c r="H393" s="2"/>
      <c r="I393" s="2"/>
    </row>
    <row r="394" spans="1:9" ht="12" customHeight="1">
      <c r="A394" s="151"/>
      <c r="B394" s="1"/>
      <c r="C394" s="1"/>
      <c r="D394" s="66"/>
      <c r="E394" s="66"/>
      <c r="F394" s="2"/>
      <c r="G394" s="2"/>
      <c r="H394" s="2"/>
      <c r="I394" s="2"/>
    </row>
    <row r="395" spans="1:9" ht="12" customHeight="1">
      <c r="A395" s="151"/>
      <c r="B395" s="1"/>
      <c r="C395" s="1"/>
      <c r="D395" s="66"/>
      <c r="E395" s="66"/>
      <c r="F395" s="2"/>
      <c r="G395" s="2"/>
      <c r="H395" s="2"/>
      <c r="I395" s="2"/>
    </row>
    <row r="396" spans="1:9" ht="12" customHeight="1">
      <c r="A396" s="151"/>
      <c r="B396" s="1"/>
      <c r="C396" s="1"/>
      <c r="D396" s="66"/>
      <c r="E396" s="66"/>
      <c r="F396" s="2"/>
      <c r="G396" s="2"/>
      <c r="H396" s="2"/>
      <c r="I396" s="2"/>
    </row>
    <row r="397" spans="1:9" ht="12" customHeight="1">
      <c r="A397" s="151"/>
      <c r="B397" s="1"/>
      <c r="C397" s="1"/>
      <c r="D397" s="66"/>
      <c r="E397" s="66"/>
      <c r="F397" s="2"/>
      <c r="G397" s="2"/>
      <c r="H397" s="2"/>
      <c r="I397" s="2"/>
    </row>
    <row r="398" spans="1:9" ht="12" customHeight="1">
      <c r="A398" s="151"/>
      <c r="B398" s="1"/>
      <c r="C398" s="1"/>
      <c r="D398" s="66"/>
      <c r="E398" s="66"/>
      <c r="F398" s="2"/>
      <c r="G398" s="2"/>
      <c r="H398" s="2"/>
      <c r="I398" s="2"/>
    </row>
    <row r="399" spans="1:9" ht="12" customHeight="1">
      <c r="A399" s="151"/>
      <c r="B399" s="1"/>
      <c r="C399" s="1"/>
      <c r="D399" s="66"/>
      <c r="E399" s="66"/>
      <c r="F399" s="2"/>
      <c r="G399" s="2"/>
      <c r="H399" s="2"/>
      <c r="I399" s="2"/>
    </row>
    <row r="400" spans="1:9" ht="12" customHeight="1">
      <c r="A400" s="151"/>
      <c r="B400" s="1"/>
      <c r="C400" s="1"/>
      <c r="D400" s="66"/>
      <c r="E400" s="66"/>
      <c r="F400" s="2"/>
      <c r="G400" s="2"/>
      <c r="H400" s="2"/>
      <c r="I400" s="2"/>
    </row>
    <row r="401" spans="1:9" ht="12" customHeight="1">
      <c r="A401" s="151"/>
      <c r="B401" s="1"/>
      <c r="C401" s="1"/>
      <c r="D401" s="66"/>
      <c r="E401" s="66"/>
      <c r="F401" s="2"/>
      <c r="G401" s="2"/>
      <c r="H401" s="2"/>
      <c r="I401" s="2"/>
    </row>
    <row r="402" spans="1:9" ht="12" customHeight="1">
      <c r="A402" s="151"/>
      <c r="B402" s="1"/>
      <c r="C402" s="1"/>
      <c r="D402" s="66"/>
      <c r="E402" s="66"/>
      <c r="F402" s="2"/>
      <c r="G402" s="2"/>
      <c r="H402" s="2"/>
      <c r="I402" s="2"/>
    </row>
    <row r="403" spans="1:9" ht="12" customHeight="1">
      <c r="A403" s="151"/>
      <c r="B403" s="1"/>
      <c r="C403" s="1"/>
      <c r="D403" s="66"/>
      <c r="E403" s="66"/>
      <c r="F403" s="2"/>
      <c r="G403" s="2"/>
      <c r="H403" s="2"/>
      <c r="I403" s="2"/>
    </row>
    <row r="404" spans="1:9" ht="12" customHeight="1">
      <c r="A404" s="151"/>
      <c r="B404" s="1"/>
      <c r="C404" s="1"/>
      <c r="D404" s="66"/>
      <c r="E404" s="66"/>
      <c r="F404" s="2"/>
      <c r="G404" s="2"/>
      <c r="H404" s="2"/>
      <c r="I404" s="2"/>
    </row>
    <row r="405" spans="1:9" ht="12" customHeight="1">
      <c r="A405" s="151"/>
      <c r="B405" s="1"/>
      <c r="C405" s="1"/>
      <c r="D405" s="66"/>
      <c r="E405" s="66"/>
      <c r="F405" s="2"/>
      <c r="G405" s="2"/>
      <c r="H405" s="2"/>
      <c r="I405" s="2"/>
    </row>
    <row r="406" spans="1:9" ht="12" customHeight="1">
      <c r="A406" s="151"/>
      <c r="B406" s="1"/>
      <c r="C406" s="1"/>
      <c r="D406" s="66"/>
      <c r="E406" s="66"/>
      <c r="F406" s="2"/>
      <c r="G406" s="2"/>
      <c r="H406" s="2"/>
      <c r="I406" s="2"/>
    </row>
    <row r="407" spans="1:9" ht="12" customHeight="1">
      <c r="A407" s="151"/>
      <c r="B407" s="1"/>
      <c r="C407" s="1"/>
      <c r="D407" s="66"/>
      <c r="E407" s="66"/>
      <c r="F407" s="2"/>
      <c r="G407" s="2"/>
      <c r="H407" s="2"/>
      <c r="I407" s="2"/>
    </row>
    <row r="408" spans="1:9" ht="12" customHeight="1">
      <c r="A408" s="151"/>
      <c r="B408" s="1"/>
      <c r="C408" s="1"/>
      <c r="D408" s="66"/>
      <c r="E408" s="66"/>
      <c r="F408" s="2"/>
      <c r="G408" s="2"/>
      <c r="H408" s="2"/>
      <c r="I408" s="2"/>
    </row>
    <row r="409" spans="1:9" ht="12" customHeight="1">
      <c r="A409" s="151"/>
      <c r="B409" s="1"/>
      <c r="C409" s="1"/>
      <c r="D409" s="66"/>
      <c r="E409" s="66"/>
      <c r="F409" s="2"/>
      <c r="G409" s="2"/>
      <c r="H409" s="2"/>
      <c r="I409" s="2"/>
    </row>
    <row r="410" spans="1:9" ht="12" customHeight="1">
      <c r="A410" s="151"/>
      <c r="B410" s="1"/>
      <c r="C410" s="1"/>
      <c r="D410" s="66"/>
      <c r="E410" s="66"/>
      <c r="F410" s="2"/>
      <c r="G410" s="2"/>
      <c r="H410" s="2"/>
      <c r="I410" s="2"/>
    </row>
    <row r="411" spans="1:9" ht="12" customHeight="1">
      <c r="A411" s="151"/>
      <c r="B411" s="1"/>
      <c r="C411" s="1"/>
      <c r="D411" s="66"/>
      <c r="E411" s="66"/>
      <c r="F411" s="2"/>
      <c r="G411" s="2"/>
      <c r="H411" s="2"/>
      <c r="I411" s="2"/>
    </row>
    <row r="412" spans="1:9" ht="12" customHeight="1">
      <c r="A412" s="151"/>
      <c r="B412" s="1"/>
      <c r="C412" s="1"/>
      <c r="D412" s="66"/>
      <c r="E412" s="66"/>
      <c r="F412" s="2"/>
      <c r="G412" s="2"/>
      <c r="H412" s="2"/>
      <c r="I412" s="2"/>
    </row>
    <row r="413" spans="1:9" ht="12" customHeight="1">
      <c r="A413" s="151"/>
      <c r="B413" s="1"/>
      <c r="C413" s="1"/>
      <c r="D413" s="66"/>
      <c r="E413" s="66"/>
      <c r="F413" s="2"/>
      <c r="G413" s="2"/>
      <c r="H413" s="2"/>
      <c r="I413" s="2"/>
    </row>
    <row r="414" spans="1:9" ht="12" customHeight="1">
      <c r="A414" s="151"/>
      <c r="B414" s="1"/>
      <c r="C414" s="1"/>
      <c r="D414" s="66"/>
      <c r="E414" s="66"/>
      <c r="F414" s="2"/>
      <c r="G414" s="2"/>
      <c r="H414" s="2"/>
      <c r="I414" s="2"/>
    </row>
    <row r="415" spans="1:9" ht="12" customHeight="1">
      <c r="A415" s="151"/>
      <c r="B415" s="1"/>
      <c r="C415" s="1"/>
      <c r="D415" s="66"/>
      <c r="E415" s="66"/>
      <c r="F415" s="2"/>
      <c r="G415" s="2"/>
      <c r="H415" s="2"/>
      <c r="I415" s="2"/>
    </row>
    <row r="416" spans="1:9" ht="12" customHeight="1">
      <c r="A416" s="151"/>
      <c r="B416" s="1"/>
      <c r="C416" s="1"/>
      <c r="D416" s="66"/>
      <c r="E416" s="66"/>
      <c r="F416" s="2"/>
      <c r="G416" s="2"/>
      <c r="H416" s="2"/>
      <c r="I416" s="2"/>
    </row>
    <row r="417" spans="1:9" ht="12" customHeight="1">
      <c r="A417" s="151"/>
      <c r="B417" s="1"/>
      <c r="C417" s="1"/>
      <c r="D417" s="66"/>
      <c r="E417" s="66"/>
      <c r="F417" s="2"/>
      <c r="G417" s="2"/>
      <c r="H417" s="2"/>
      <c r="I417" s="2"/>
    </row>
    <row r="418" spans="1:9" ht="12" customHeight="1">
      <c r="A418" s="151"/>
      <c r="B418" s="1"/>
      <c r="C418" s="1"/>
      <c r="D418" s="66"/>
      <c r="E418" s="66"/>
      <c r="F418" s="2"/>
      <c r="G418" s="2"/>
      <c r="H418" s="2"/>
      <c r="I418" s="2"/>
    </row>
    <row r="419" spans="1:9" ht="12" customHeight="1">
      <c r="A419" s="151"/>
      <c r="B419" s="1"/>
      <c r="C419" s="1"/>
      <c r="D419" s="66"/>
      <c r="E419" s="66"/>
      <c r="F419" s="2"/>
      <c r="G419" s="2"/>
      <c r="H419" s="2"/>
      <c r="I419" s="2"/>
    </row>
    <row r="420" spans="1:9" ht="12" customHeight="1">
      <c r="A420" s="151"/>
      <c r="B420" s="1"/>
      <c r="C420" s="1"/>
      <c r="D420" s="66"/>
      <c r="E420" s="66"/>
      <c r="F420" s="2"/>
      <c r="G420" s="2"/>
      <c r="H420" s="2"/>
      <c r="I420" s="2"/>
    </row>
    <row r="421" spans="1:9" ht="12" customHeight="1">
      <c r="A421" s="151"/>
      <c r="B421" s="1"/>
      <c r="C421" s="1"/>
      <c r="D421" s="66"/>
      <c r="E421" s="66"/>
      <c r="F421" s="2"/>
      <c r="G421" s="2"/>
      <c r="H421" s="2"/>
      <c r="I421" s="2"/>
    </row>
    <row r="422" spans="1:9" ht="12" customHeight="1">
      <c r="A422" s="151"/>
      <c r="B422" s="1"/>
      <c r="C422" s="1"/>
      <c r="D422" s="66"/>
      <c r="E422" s="66"/>
      <c r="F422" s="2"/>
      <c r="G422" s="2"/>
      <c r="H422" s="2"/>
      <c r="I422" s="2"/>
    </row>
    <row r="423" spans="1:9" ht="12" customHeight="1">
      <c r="A423" s="151"/>
      <c r="B423" s="1"/>
      <c r="C423" s="1"/>
      <c r="D423" s="66"/>
      <c r="E423" s="66"/>
      <c r="F423" s="2"/>
      <c r="G423" s="2"/>
      <c r="H423" s="2"/>
      <c r="I423" s="2"/>
    </row>
    <row r="424" spans="1:9" ht="12" customHeight="1">
      <c r="A424" s="151"/>
      <c r="B424" s="1"/>
      <c r="C424" s="1"/>
      <c r="D424" s="66"/>
      <c r="E424" s="66"/>
      <c r="F424" s="2"/>
      <c r="G424" s="2"/>
      <c r="H424" s="2"/>
      <c r="I424" s="2"/>
    </row>
    <row r="425" spans="1:9" ht="12" customHeight="1">
      <c r="A425" s="151"/>
      <c r="B425" s="1"/>
      <c r="C425" s="1"/>
      <c r="D425" s="66"/>
      <c r="E425" s="66"/>
      <c r="F425" s="2"/>
      <c r="G425" s="2"/>
      <c r="H425" s="2"/>
      <c r="I425" s="2"/>
    </row>
    <row r="426" spans="1:9" ht="12" customHeight="1">
      <c r="A426" s="151"/>
      <c r="B426" s="1"/>
      <c r="C426" s="1"/>
      <c r="D426" s="66"/>
      <c r="E426" s="66"/>
      <c r="F426" s="2"/>
      <c r="G426" s="2"/>
      <c r="H426" s="2"/>
      <c r="I426" s="2"/>
    </row>
    <row r="427" spans="1:9" ht="12" customHeight="1">
      <c r="A427" s="151"/>
      <c r="B427" s="1"/>
      <c r="C427" s="1"/>
      <c r="D427" s="66"/>
      <c r="E427" s="66"/>
      <c r="F427" s="2"/>
      <c r="G427" s="2"/>
      <c r="H427" s="2"/>
      <c r="I427" s="2"/>
    </row>
    <row r="428" spans="1:9" ht="12" customHeight="1">
      <c r="A428" s="151"/>
      <c r="B428" s="1"/>
      <c r="C428" s="1"/>
      <c r="D428" s="66"/>
      <c r="E428" s="66"/>
      <c r="F428" s="2"/>
      <c r="G428" s="2"/>
      <c r="H428" s="2"/>
      <c r="I428" s="2"/>
    </row>
    <row r="429" spans="1:9" ht="12" customHeight="1">
      <c r="A429" s="151"/>
      <c r="B429" s="1"/>
      <c r="C429" s="1"/>
      <c r="D429" s="66"/>
      <c r="E429" s="66"/>
      <c r="F429" s="2"/>
      <c r="G429" s="2"/>
      <c r="H429" s="2"/>
      <c r="I429" s="2"/>
    </row>
    <row r="430" spans="1:9" ht="12" customHeight="1">
      <c r="A430" s="151"/>
      <c r="B430" s="1"/>
      <c r="C430" s="1"/>
      <c r="D430" s="66"/>
      <c r="E430" s="66"/>
      <c r="F430" s="2"/>
      <c r="G430" s="2"/>
      <c r="H430" s="2"/>
      <c r="I430" s="2"/>
    </row>
    <row r="431" spans="1:9" ht="12" customHeight="1">
      <c r="A431" s="151"/>
      <c r="B431" s="1"/>
      <c r="C431" s="1"/>
      <c r="D431" s="66"/>
      <c r="E431" s="66"/>
      <c r="F431" s="2"/>
      <c r="G431" s="2"/>
      <c r="H431" s="2"/>
      <c r="I431" s="2"/>
    </row>
    <row r="432" spans="1:9" ht="12" customHeight="1">
      <c r="A432" s="151"/>
      <c r="B432" s="1"/>
      <c r="C432" s="1"/>
      <c r="D432" s="66"/>
      <c r="E432" s="66"/>
      <c r="F432" s="2"/>
      <c r="G432" s="2"/>
      <c r="H432" s="2"/>
      <c r="I432" s="2"/>
    </row>
    <row r="433" spans="1:9" ht="12" customHeight="1">
      <c r="A433" s="151"/>
      <c r="B433" s="1"/>
      <c r="C433" s="1"/>
      <c r="D433" s="66"/>
      <c r="E433" s="66"/>
      <c r="F433" s="2"/>
      <c r="G433" s="2"/>
      <c r="H433" s="2"/>
      <c r="I433" s="2"/>
    </row>
    <row r="434" spans="1:9" ht="12" customHeight="1">
      <c r="A434" s="151"/>
      <c r="B434" s="1"/>
      <c r="C434" s="1"/>
      <c r="D434" s="66"/>
      <c r="E434" s="66"/>
      <c r="F434" s="2"/>
      <c r="G434" s="2"/>
      <c r="H434" s="2"/>
      <c r="I434" s="2"/>
    </row>
    <row r="435" spans="1:9" ht="12" customHeight="1">
      <c r="A435" s="151"/>
      <c r="B435" s="1"/>
      <c r="C435" s="1"/>
      <c r="D435" s="66"/>
      <c r="E435" s="66"/>
      <c r="F435" s="2"/>
      <c r="G435" s="2"/>
      <c r="H435" s="2"/>
      <c r="I435" s="2"/>
    </row>
    <row r="436" spans="1:9" ht="12" customHeight="1">
      <c r="A436" s="151"/>
      <c r="B436" s="1"/>
      <c r="C436" s="1"/>
      <c r="D436" s="66"/>
      <c r="E436" s="66"/>
      <c r="F436" s="2"/>
      <c r="G436" s="2"/>
      <c r="H436" s="2"/>
      <c r="I436" s="2"/>
    </row>
    <row r="437" spans="1:9" ht="12" customHeight="1">
      <c r="A437" s="151"/>
      <c r="B437" s="1"/>
      <c r="C437" s="1"/>
      <c r="D437" s="66"/>
      <c r="E437" s="66"/>
      <c r="F437" s="2"/>
      <c r="G437" s="2"/>
      <c r="H437" s="2"/>
      <c r="I437" s="2"/>
    </row>
    <row r="438" spans="1:9" ht="12" customHeight="1">
      <c r="A438" s="151"/>
      <c r="B438" s="1"/>
      <c r="C438" s="1"/>
      <c r="D438" s="66"/>
      <c r="E438" s="66"/>
      <c r="F438" s="2"/>
      <c r="G438" s="2"/>
      <c r="H438" s="2"/>
      <c r="I438" s="2"/>
    </row>
    <row r="439" spans="1:9" ht="12" customHeight="1">
      <c r="A439" s="151"/>
      <c r="B439" s="1"/>
      <c r="C439" s="1"/>
      <c r="D439" s="66"/>
      <c r="E439" s="66"/>
      <c r="F439" s="2"/>
      <c r="G439" s="2"/>
      <c r="H439" s="2"/>
      <c r="I439" s="2"/>
    </row>
    <row r="440" spans="1:9" ht="12" customHeight="1">
      <c r="A440" s="151"/>
      <c r="B440" s="1"/>
      <c r="C440" s="1"/>
      <c r="D440" s="66"/>
      <c r="E440" s="66"/>
      <c r="F440" s="2"/>
      <c r="G440" s="2"/>
      <c r="H440" s="2"/>
      <c r="I440" s="2"/>
    </row>
    <row r="441" spans="1:9" ht="12" customHeight="1">
      <c r="A441" s="151"/>
      <c r="B441" s="1"/>
      <c r="C441" s="1"/>
      <c r="D441" s="66"/>
      <c r="E441" s="66"/>
      <c r="F441" s="2"/>
      <c r="G441" s="2"/>
      <c r="H441" s="2"/>
      <c r="I441" s="2"/>
    </row>
    <row r="442" spans="1:9" ht="12" customHeight="1">
      <c r="A442" s="151"/>
      <c r="B442" s="1"/>
      <c r="C442" s="1"/>
      <c r="D442" s="66"/>
      <c r="E442" s="66"/>
      <c r="F442" s="2"/>
      <c r="G442" s="2"/>
      <c r="H442" s="2"/>
      <c r="I442" s="2"/>
    </row>
    <row r="443" spans="1:9" ht="12" customHeight="1">
      <c r="A443" s="151"/>
      <c r="B443" s="1"/>
      <c r="C443" s="1"/>
      <c r="D443" s="66"/>
      <c r="E443" s="66"/>
      <c r="F443" s="2"/>
      <c r="G443" s="2"/>
      <c r="H443" s="2"/>
      <c r="I443" s="2"/>
    </row>
    <row r="444" spans="1:9" ht="12" customHeight="1">
      <c r="A444" s="151"/>
      <c r="B444" s="1"/>
      <c r="C444" s="1"/>
      <c r="D444" s="66"/>
      <c r="E444" s="66"/>
      <c r="F444" s="2"/>
      <c r="G444" s="2"/>
      <c r="H444" s="2"/>
      <c r="I444" s="2"/>
    </row>
    <row r="445" spans="1:9" ht="12" customHeight="1">
      <c r="A445" s="151"/>
      <c r="B445" s="1"/>
      <c r="C445" s="1"/>
      <c r="D445" s="66"/>
      <c r="E445" s="66"/>
      <c r="F445" s="2"/>
      <c r="G445" s="2"/>
      <c r="H445" s="2"/>
      <c r="I445" s="2"/>
    </row>
    <row r="446" spans="1:9" ht="12" customHeight="1">
      <c r="A446" s="151"/>
      <c r="B446" s="1"/>
      <c r="C446" s="1"/>
      <c r="D446" s="66"/>
      <c r="E446" s="66"/>
      <c r="F446" s="2"/>
      <c r="G446" s="2"/>
      <c r="H446" s="2"/>
      <c r="I446" s="2"/>
    </row>
    <row r="447" spans="1:9" ht="12" customHeight="1">
      <c r="A447" s="151"/>
      <c r="B447" s="1"/>
      <c r="C447" s="1"/>
      <c r="D447" s="66"/>
      <c r="E447" s="66"/>
      <c r="F447" s="2"/>
      <c r="G447" s="2"/>
      <c r="H447" s="2"/>
      <c r="I447" s="2"/>
    </row>
    <row r="448" spans="1:9" ht="12" customHeight="1">
      <c r="A448" s="151"/>
      <c r="B448" s="1"/>
      <c r="C448" s="1"/>
      <c r="D448" s="66"/>
      <c r="E448" s="66"/>
      <c r="F448" s="2"/>
      <c r="G448" s="2"/>
      <c r="H448" s="2"/>
      <c r="I448" s="2"/>
    </row>
    <row r="449" spans="1:9" ht="12" customHeight="1">
      <c r="A449" s="151"/>
      <c r="B449" s="1"/>
      <c r="C449" s="1"/>
      <c r="D449" s="66"/>
      <c r="E449" s="66"/>
      <c r="F449" s="2"/>
      <c r="G449" s="2"/>
      <c r="H449" s="2"/>
      <c r="I449" s="2"/>
    </row>
    <row r="450" spans="1:9" ht="12" customHeight="1">
      <c r="A450" s="151"/>
      <c r="B450" s="1"/>
      <c r="C450" s="1"/>
      <c r="D450" s="66"/>
      <c r="E450" s="66"/>
      <c r="F450" s="2"/>
      <c r="G450" s="2"/>
      <c r="H450" s="2"/>
      <c r="I450" s="2"/>
    </row>
    <row r="451" spans="1:9" ht="12" customHeight="1">
      <c r="A451" s="151"/>
      <c r="B451" s="1"/>
      <c r="C451" s="1"/>
      <c r="D451" s="66"/>
      <c r="E451" s="66"/>
      <c r="F451" s="2"/>
      <c r="G451" s="2"/>
      <c r="H451" s="2"/>
      <c r="I451" s="2"/>
    </row>
    <row r="452" spans="1:9" ht="12" customHeight="1">
      <c r="A452" s="151"/>
      <c r="B452" s="1"/>
      <c r="C452" s="1"/>
      <c r="D452" s="66"/>
      <c r="E452" s="66"/>
      <c r="F452" s="2"/>
      <c r="G452" s="2"/>
      <c r="H452" s="2"/>
      <c r="I452" s="2"/>
    </row>
    <row r="453" spans="1:9" ht="12" customHeight="1">
      <c r="A453" s="151"/>
      <c r="B453" s="1"/>
      <c r="C453" s="1"/>
      <c r="D453" s="66"/>
      <c r="E453" s="66"/>
      <c r="F453" s="2"/>
      <c r="G453" s="2"/>
      <c r="H453" s="2"/>
      <c r="I453" s="2"/>
    </row>
    <row r="454" spans="1:9" ht="12" customHeight="1">
      <c r="A454" s="151"/>
      <c r="B454" s="1"/>
      <c r="C454" s="1"/>
      <c r="D454" s="66"/>
      <c r="E454" s="66"/>
      <c r="F454" s="2"/>
      <c r="G454" s="2"/>
      <c r="H454" s="2"/>
      <c r="I454" s="2"/>
    </row>
    <row r="455" spans="1:9" ht="12" customHeight="1">
      <c r="A455" s="151"/>
      <c r="B455" s="1"/>
      <c r="C455" s="1"/>
      <c r="D455" s="66"/>
      <c r="E455" s="66"/>
      <c r="F455" s="2"/>
      <c r="G455" s="2"/>
      <c r="H455" s="2"/>
      <c r="I455" s="2"/>
    </row>
    <row r="456" spans="1:9" ht="12" customHeight="1">
      <c r="A456" s="151"/>
      <c r="B456" s="1"/>
      <c r="C456" s="1"/>
      <c r="D456" s="66"/>
      <c r="E456" s="66"/>
      <c r="F456" s="2"/>
      <c r="G456" s="2"/>
      <c r="H456" s="2"/>
      <c r="I456" s="2"/>
    </row>
    <row r="457" spans="1:9" ht="12" customHeight="1">
      <c r="A457" s="151"/>
      <c r="B457" s="1"/>
      <c r="C457" s="1"/>
      <c r="D457" s="66"/>
      <c r="E457" s="66"/>
      <c r="F457" s="2"/>
      <c r="G457" s="2"/>
      <c r="H457" s="2"/>
      <c r="I457" s="2"/>
    </row>
    <row r="458" spans="1:9" ht="12" customHeight="1">
      <c r="A458" s="151"/>
      <c r="B458" s="1"/>
      <c r="C458" s="1"/>
      <c r="D458" s="66"/>
      <c r="E458" s="66"/>
      <c r="F458" s="2"/>
      <c r="G458" s="2"/>
      <c r="H458" s="2"/>
      <c r="I458" s="2"/>
    </row>
    <row r="459" spans="1:9" ht="12" customHeight="1">
      <c r="A459" s="151"/>
      <c r="B459" s="1"/>
      <c r="C459" s="1"/>
      <c r="D459" s="66"/>
      <c r="E459" s="66"/>
      <c r="F459" s="2"/>
      <c r="G459" s="2"/>
      <c r="H459" s="2"/>
      <c r="I459" s="2"/>
    </row>
    <row r="460" spans="1:9" ht="12" customHeight="1">
      <c r="A460" s="151"/>
      <c r="B460" s="1"/>
      <c r="C460" s="1"/>
      <c r="D460" s="66"/>
      <c r="E460" s="66"/>
      <c r="F460" s="2"/>
      <c r="G460" s="2"/>
      <c r="H460" s="2"/>
      <c r="I460" s="2"/>
    </row>
    <row r="461" spans="1:9" ht="12" customHeight="1">
      <c r="A461" s="151"/>
      <c r="B461" s="1"/>
      <c r="C461" s="1"/>
      <c r="D461" s="66"/>
      <c r="E461" s="66"/>
      <c r="F461" s="2"/>
      <c r="G461" s="2"/>
      <c r="H461" s="2"/>
      <c r="I461" s="2"/>
    </row>
    <row r="462" spans="1:9" ht="12" customHeight="1">
      <c r="A462" s="151"/>
      <c r="B462" s="1"/>
      <c r="C462" s="1"/>
      <c r="D462" s="66"/>
      <c r="E462" s="66"/>
      <c r="F462" s="2"/>
      <c r="G462" s="2"/>
      <c r="H462" s="2"/>
      <c r="I462" s="2"/>
    </row>
    <row r="463" spans="1:9" ht="12" customHeight="1">
      <c r="A463" s="151"/>
      <c r="B463" s="1"/>
      <c r="C463" s="1"/>
      <c r="D463" s="66"/>
      <c r="E463" s="66"/>
      <c r="F463" s="2"/>
      <c r="G463" s="2"/>
      <c r="H463" s="2"/>
      <c r="I463" s="2"/>
    </row>
    <row r="464" spans="1:9" ht="12" customHeight="1">
      <c r="A464" s="151"/>
      <c r="B464" s="1"/>
      <c r="C464" s="1"/>
      <c r="D464" s="66"/>
      <c r="E464" s="66"/>
      <c r="F464" s="2"/>
      <c r="G464" s="2"/>
      <c r="H464" s="2"/>
      <c r="I464" s="2"/>
    </row>
    <row r="465" spans="1:9" ht="12" customHeight="1">
      <c r="A465" s="151"/>
      <c r="B465" s="1"/>
      <c r="C465" s="1"/>
      <c r="D465" s="66"/>
      <c r="E465" s="66"/>
      <c r="F465" s="2"/>
      <c r="G465" s="2"/>
      <c r="H465" s="2"/>
      <c r="I465" s="2"/>
    </row>
    <row r="466" spans="1:9" ht="12" customHeight="1">
      <c r="A466" s="151"/>
      <c r="B466" s="1"/>
      <c r="C466" s="1"/>
      <c r="D466" s="66"/>
      <c r="E466" s="66"/>
      <c r="F466" s="2"/>
      <c r="G466" s="2"/>
      <c r="H466" s="2"/>
      <c r="I466" s="2"/>
    </row>
    <row r="467" spans="1:9" ht="12" customHeight="1">
      <c r="A467" s="151"/>
      <c r="B467" s="1"/>
      <c r="C467" s="1"/>
      <c r="D467" s="66"/>
      <c r="E467" s="66"/>
      <c r="F467" s="2"/>
      <c r="G467" s="2"/>
      <c r="H467" s="2"/>
      <c r="I467" s="2"/>
    </row>
    <row r="468" spans="1:9" ht="12" customHeight="1">
      <c r="A468" s="151"/>
      <c r="B468" s="1"/>
      <c r="C468" s="1"/>
      <c r="D468" s="66"/>
      <c r="E468" s="66"/>
      <c r="F468" s="2"/>
      <c r="G468" s="2"/>
      <c r="H468" s="2"/>
      <c r="I468" s="2"/>
    </row>
    <row r="469" spans="1:9" ht="12" customHeight="1">
      <c r="A469" s="151"/>
      <c r="B469" s="1"/>
      <c r="C469" s="1"/>
      <c r="D469" s="66"/>
      <c r="E469" s="66"/>
      <c r="F469" s="2"/>
      <c r="G469" s="2"/>
      <c r="H469" s="2"/>
      <c r="I469" s="2"/>
    </row>
    <row r="470" spans="1:9" ht="12" customHeight="1">
      <c r="A470" s="151"/>
      <c r="B470" s="1"/>
      <c r="C470" s="1"/>
      <c r="D470" s="66"/>
      <c r="E470" s="66"/>
      <c r="F470" s="2"/>
      <c r="G470" s="2"/>
      <c r="H470" s="2"/>
      <c r="I470" s="2"/>
    </row>
    <row r="471" spans="1:9" ht="12" customHeight="1">
      <c r="A471" s="151"/>
      <c r="B471" s="1"/>
      <c r="C471" s="1"/>
      <c r="D471" s="66"/>
      <c r="E471" s="66"/>
      <c r="F471" s="2"/>
      <c r="G471" s="2"/>
      <c r="H471" s="2"/>
      <c r="I471" s="2"/>
    </row>
    <row r="472" spans="1:9" ht="12" customHeight="1">
      <c r="A472" s="151"/>
      <c r="B472" s="1"/>
      <c r="C472" s="1"/>
      <c r="D472" s="66"/>
      <c r="E472" s="66"/>
      <c r="F472" s="2"/>
      <c r="G472" s="2"/>
      <c r="H472" s="2"/>
      <c r="I472" s="2"/>
    </row>
    <row r="473" spans="1:9" ht="12" customHeight="1">
      <c r="A473" s="151"/>
      <c r="B473" s="1"/>
      <c r="C473" s="1"/>
      <c r="D473" s="66"/>
      <c r="E473" s="66"/>
      <c r="F473" s="2"/>
      <c r="G473" s="2"/>
      <c r="H473" s="2"/>
      <c r="I473" s="2"/>
    </row>
    <row r="474" spans="1:9" ht="12" customHeight="1">
      <c r="A474" s="151"/>
      <c r="B474" s="1"/>
      <c r="C474" s="1"/>
      <c r="D474" s="66"/>
      <c r="E474" s="66"/>
      <c r="F474" s="2"/>
      <c r="G474" s="2"/>
      <c r="H474" s="2"/>
      <c r="I474" s="2"/>
    </row>
    <row r="475" spans="1:9" ht="12" customHeight="1">
      <c r="A475" s="151"/>
      <c r="B475" s="1"/>
      <c r="C475" s="1"/>
      <c r="D475" s="66"/>
      <c r="E475" s="66"/>
      <c r="F475" s="2"/>
      <c r="G475" s="2"/>
      <c r="H475" s="2"/>
      <c r="I475" s="2"/>
    </row>
    <row r="476" spans="1:9" ht="12" customHeight="1">
      <c r="A476" s="151"/>
      <c r="B476" s="1"/>
      <c r="C476" s="1"/>
      <c r="D476" s="66"/>
      <c r="E476" s="66"/>
      <c r="F476" s="2"/>
      <c r="G476" s="2"/>
      <c r="H476" s="2"/>
      <c r="I476" s="2"/>
    </row>
    <row r="477" spans="1:9" ht="12" customHeight="1">
      <c r="A477" s="151"/>
      <c r="B477" s="1"/>
      <c r="C477" s="1"/>
      <c r="D477" s="66"/>
      <c r="E477" s="66"/>
      <c r="F477" s="2"/>
      <c r="G477" s="2"/>
      <c r="H477" s="2"/>
      <c r="I477" s="2"/>
    </row>
    <row r="478" spans="1:9" ht="12" customHeight="1">
      <c r="A478" s="151"/>
      <c r="B478" s="1"/>
      <c r="C478" s="1"/>
      <c r="D478" s="66"/>
      <c r="E478" s="66"/>
      <c r="F478" s="2"/>
      <c r="G478" s="2"/>
      <c r="H478" s="2"/>
      <c r="I478" s="2"/>
    </row>
    <row r="479" spans="1:9" ht="12" customHeight="1">
      <c r="A479" s="151"/>
      <c r="B479" s="1"/>
      <c r="C479" s="1"/>
      <c r="D479" s="66"/>
      <c r="E479" s="66"/>
      <c r="F479" s="2"/>
      <c r="G479" s="2"/>
      <c r="H479" s="2"/>
      <c r="I479" s="2"/>
    </row>
    <row r="480" spans="1:9" ht="12" customHeight="1">
      <c r="A480" s="151"/>
      <c r="B480" s="1"/>
      <c r="C480" s="1"/>
      <c r="D480" s="66"/>
      <c r="E480" s="66"/>
      <c r="F480" s="2"/>
      <c r="G480" s="2"/>
      <c r="H480" s="2"/>
      <c r="I480" s="2"/>
    </row>
    <row r="481" spans="1:9" ht="12" customHeight="1">
      <c r="A481" s="151"/>
      <c r="B481" s="1"/>
      <c r="C481" s="1"/>
      <c r="D481" s="66"/>
      <c r="E481" s="66"/>
      <c r="F481" s="2"/>
      <c r="G481" s="2"/>
      <c r="H481" s="2"/>
      <c r="I481" s="2"/>
    </row>
    <row r="482" spans="1:9" ht="12" customHeight="1">
      <c r="A482" s="151"/>
      <c r="B482" s="1"/>
      <c r="C482" s="1"/>
      <c r="D482" s="66"/>
      <c r="E482" s="66"/>
      <c r="F482" s="2"/>
      <c r="G482" s="2"/>
      <c r="H482" s="2"/>
      <c r="I482" s="2"/>
    </row>
    <row r="483" spans="1:9" ht="12" customHeight="1">
      <c r="A483" s="151"/>
      <c r="B483" s="1"/>
      <c r="C483" s="1"/>
      <c r="D483" s="66"/>
      <c r="E483" s="66"/>
      <c r="F483" s="2"/>
      <c r="G483" s="2"/>
      <c r="H483" s="2"/>
      <c r="I483" s="2"/>
    </row>
    <row r="484" spans="1:9" ht="12" customHeight="1">
      <c r="A484" s="151"/>
      <c r="B484" s="1"/>
      <c r="C484" s="1"/>
      <c r="D484" s="66"/>
      <c r="E484" s="66"/>
      <c r="F484" s="2"/>
      <c r="G484" s="2"/>
      <c r="H484" s="2"/>
      <c r="I484" s="2"/>
    </row>
    <row r="485" spans="1:9" ht="12" customHeight="1">
      <c r="A485" s="151"/>
      <c r="B485" s="1"/>
      <c r="C485" s="1"/>
      <c r="D485" s="66"/>
      <c r="E485" s="66"/>
      <c r="F485" s="2"/>
      <c r="G485" s="2"/>
      <c r="H485" s="2"/>
      <c r="I485" s="2"/>
    </row>
    <row r="486" spans="1:9" ht="12" customHeight="1">
      <c r="A486" s="151"/>
      <c r="B486" s="1"/>
      <c r="C486" s="1"/>
      <c r="D486" s="66"/>
      <c r="E486" s="66"/>
      <c r="F486" s="2"/>
      <c r="G486" s="2"/>
      <c r="H486" s="2"/>
      <c r="I486" s="2"/>
    </row>
    <row r="487" spans="1:9" ht="12" customHeight="1">
      <c r="A487" s="151"/>
      <c r="B487" s="1"/>
      <c r="C487" s="1"/>
      <c r="D487" s="66"/>
      <c r="E487" s="66"/>
      <c r="F487" s="2"/>
      <c r="G487" s="2"/>
      <c r="H487" s="2"/>
      <c r="I487" s="2"/>
    </row>
    <row r="488" spans="1:9" ht="12" customHeight="1">
      <c r="A488" s="151"/>
      <c r="B488" s="1"/>
      <c r="C488" s="1"/>
      <c r="D488" s="66"/>
      <c r="E488" s="66"/>
      <c r="F488" s="2"/>
      <c r="G488" s="2"/>
      <c r="H488" s="2"/>
      <c r="I488" s="2"/>
    </row>
    <row r="489" spans="1:9" ht="12" customHeight="1">
      <c r="A489" s="151"/>
      <c r="B489" s="1"/>
      <c r="C489" s="1"/>
      <c r="D489" s="66"/>
      <c r="E489" s="66"/>
      <c r="F489" s="2"/>
      <c r="G489" s="2"/>
      <c r="H489" s="2"/>
      <c r="I489" s="2"/>
    </row>
    <row r="490" spans="1:9" ht="12" customHeight="1">
      <c r="A490" s="151"/>
      <c r="B490" s="1"/>
      <c r="C490" s="1"/>
      <c r="D490" s="66"/>
      <c r="E490" s="66"/>
      <c r="F490" s="2"/>
      <c r="G490" s="2"/>
      <c r="H490" s="2"/>
      <c r="I490" s="2"/>
    </row>
    <row r="491" spans="1:9" ht="12" customHeight="1">
      <c r="A491" s="151"/>
      <c r="B491" s="1"/>
      <c r="C491" s="1"/>
      <c r="D491" s="66"/>
      <c r="E491" s="66"/>
      <c r="F491" s="2"/>
      <c r="G491" s="2"/>
      <c r="H491" s="2"/>
      <c r="I491" s="2"/>
    </row>
    <row r="492" spans="1:9" ht="12" customHeight="1">
      <c r="A492" s="151"/>
      <c r="B492" s="1"/>
      <c r="C492" s="1"/>
      <c r="D492" s="66"/>
      <c r="E492" s="66"/>
      <c r="F492" s="2"/>
      <c r="G492" s="2"/>
      <c r="H492" s="2"/>
      <c r="I492" s="2"/>
    </row>
    <row r="493" spans="1:9" ht="12" customHeight="1">
      <c r="A493" s="151"/>
      <c r="B493" s="1"/>
      <c r="C493" s="1"/>
      <c r="D493" s="66"/>
      <c r="E493" s="66"/>
      <c r="F493" s="2"/>
      <c r="G493" s="2"/>
      <c r="H493" s="2"/>
      <c r="I493" s="2"/>
    </row>
    <row r="494" spans="1:9" ht="12" customHeight="1">
      <c r="A494" s="151"/>
      <c r="B494" s="1"/>
      <c r="C494" s="1"/>
      <c r="D494" s="66"/>
      <c r="E494" s="66"/>
      <c r="F494" s="2"/>
      <c r="G494" s="2"/>
      <c r="H494" s="2"/>
      <c r="I494" s="2"/>
    </row>
    <row r="495" spans="1:9" ht="12" customHeight="1">
      <c r="A495" s="151"/>
      <c r="B495" s="1"/>
      <c r="C495" s="1"/>
      <c r="D495" s="66"/>
      <c r="E495" s="66"/>
      <c r="F495" s="2"/>
      <c r="G495" s="2"/>
      <c r="H495" s="2"/>
      <c r="I495" s="2"/>
    </row>
    <row r="496" spans="1:9" ht="12" customHeight="1">
      <c r="A496" s="151"/>
      <c r="B496" s="1"/>
      <c r="C496" s="1"/>
      <c r="D496" s="66"/>
      <c r="E496" s="66"/>
      <c r="F496" s="2"/>
      <c r="G496" s="2"/>
      <c r="H496" s="2"/>
      <c r="I496" s="2"/>
    </row>
    <row r="497" spans="1:9" ht="12" customHeight="1">
      <c r="A497" s="151"/>
      <c r="B497" s="1"/>
      <c r="C497" s="1"/>
      <c r="D497" s="66"/>
      <c r="E497" s="66"/>
      <c r="F497" s="2"/>
      <c r="G497" s="2"/>
      <c r="H497" s="2"/>
      <c r="I497" s="2"/>
    </row>
    <row r="498" spans="1:9" ht="12" customHeight="1">
      <c r="A498" s="151"/>
      <c r="B498" s="1"/>
      <c r="C498" s="1"/>
      <c r="D498" s="66"/>
      <c r="E498" s="66"/>
      <c r="F498" s="2"/>
      <c r="G498" s="2"/>
      <c r="H498" s="2"/>
      <c r="I498" s="2"/>
    </row>
    <row r="499" spans="1:9" ht="12" customHeight="1">
      <c r="A499" s="151"/>
      <c r="B499" s="1"/>
      <c r="C499" s="1"/>
      <c r="D499" s="66"/>
      <c r="E499" s="66"/>
      <c r="F499" s="2"/>
      <c r="G499" s="2"/>
      <c r="H499" s="2"/>
      <c r="I499" s="2"/>
    </row>
    <row r="500" spans="1:9" ht="12" customHeight="1">
      <c r="A500" s="151"/>
      <c r="B500" s="1"/>
      <c r="C500" s="1"/>
      <c r="D500" s="66"/>
      <c r="E500" s="66"/>
      <c r="F500" s="2"/>
      <c r="G500" s="2"/>
      <c r="H500" s="2"/>
      <c r="I500" s="2"/>
    </row>
    <row r="501" spans="1:9" ht="12" customHeight="1">
      <c r="A501" s="151"/>
      <c r="B501" s="1"/>
      <c r="C501" s="1"/>
      <c r="D501" s="66"/>
      <c r="E501" s="66"/>
      <c r="F501" s="2"/>
      <c r="G501" s="2"/>
      <c r="H501" s="2"/>
      <c r="I501" s="2"/>
    </row>
    <row r="502" spans="1:9" ht="12" customHeight="1">
      <c r="A502" s="151"/>
      <c r="B502" s="1"/>
      <c r="C502" s="1"/>
      <c r="D502" s="66"/>
      <c r="E502" s="66"/>
      <c r="F502" s="2"/>
      <c r="G502" s="2"/>
      <c r="H502" s="2"/>
      <c r="I502" s="2"/>
    </row>
    <row r="503" spans="1:9" ht="12" customHeight="1">
      <c r="A503" s="151"/>
      <c r="B503" s="1"/>
      <c r="C503" s="1"/>
      <c r="D503" s="66"/>
      <c r="E503" s="66"/>
      <c r="F503" s="2"/>
      <c r="G503" s="2"/>
      <c r="H503" s="2"/>
      <c r="I503" s="2"/>
    </row>
    <row r="504" spans="1:9" ht="12" customHeight="1">
      <c r="A504" s="151"/>
      <c r="B504" s="1"/>
      <c r="C504" s="1"/>
      <c r="D504" s="66"/>
      <c r="E504" s="66"/>
      <c r="F504" s="2"/>
      <c r="G504" s="2"/>
      <c r="H504" s="2"/>
      <c r="I504" s="2"/>
    </row>
    <row r="505" spans="1:9" ht="12" customHeight="1">
      <c r="A505" s="151"/>
      <c r="B505" s="1"/>
      <c r="C505" s="1"/>
      <c r="D505" s="66"/>
      <c r="E505" s="66"/>
      <c r="F505" s="2"/>
      <c r="G505" s="2"/>
      <c r="H505" s="2"/>
      <c r="I505" s="2"/>
    </row>
    <row r="506" spans="1:9" ht="12" customHeight="1">
      <c r="A506" s="151"/>
      <c r="B506" s="1"/>
      <c r="C506" s="1"/>
      <c r="D506" s="66"/>
      <c r="E506" s="66"/>
      <c r="F506" s="2"/>
      <c r="G506" s="2"/>
      <c r="H506" s="2"/>
      <c r="I506" s="2"/>
    </row>
    <row r="507" spans="1:9" ht="12" customHeight="1">
      <c r="A507" s="151"/>
      <c r="B507" s="1"/>
      <c r="C507" s="1"/>
      <c r="D507" s="66"/>
      <c r="E507" s="66"/>
      <c r="F507" s="2"/>
      <c r="G507" s="2"/>
      <c r="H507" s="2"/>
      <c r="I507" s="2"/>
    </row>
    <row r="508" spans="1:9" ht="12" customHeight="1">
      <c r="A508" s="151"/>
      <c r="B508" s="1"/>
      <c r="C508" s="1"/>
      <c r="D508" s="66"/>
      <c r="E508" s="66"/>
      <c r="F508" s="2"/>
      <c r="G508" s="2"/>
      <c r="H508" s="2"/>
      <c r="I508" s="2"/>
    </row>
    <row r="509" spans="1:9" ht="12" customHeight="1">
      <c r="A509" s="151"/>
      <c r="B509" s="1"/>
      <c r="C509" s="1"/>
      <c r="D509" s="66"/>
      <c r="E509" s="66"/>
      <c r="F509" s="2"/>
      <c r="G509" s="2"/>
      <c r="H509" s="2"/>
      <c r="I509" s="2"/>
    </row>
    <row r="510" spans="1:9" ht="12" customHeight="1">
      <c r="A510" s="151"/>
      <c r="B510" s="1"/>
      <c r="C510" s="1"/>
      <c r="D510" s="66"/>
      <c r="E510" s="66"/>
      <c r="F510" s="2"/>
      <c r="G510" s="2"/>
      <c r="H510" s="2"/>
      <c r="I510" s="2"/>
    </row>
    <row r="511" spans="1:9" ht="12" customHeight="1">
      <c r="A511" s="151"/>
      <c r="B511" s="1"/>
      <c r="C511" s="1"/>
      <c r="D511" s="66"/>
      <c r="E511" s="66"/>
      <c r="F511" s="2"/>
      <c r="G511" s="2"/>
      <c r="H511" s="2"/>
      <c r="I511" s="2"/>
    </row>
    <row r="512" spans="1:9" ht="12" customHeight="1">
      <c r="A512" s="151"/>
      <c r="B512" s="1"/>
      <c r="C512" s="1"/>
      <c r="D512" s="66"/>
      <c r="E512" s="66"/>
      <c r="F512" s="2"/>
      <c r="G512" s="2"/>
      <c r="H512" s="2"/>
      <c r="I512" s="2"/>
    </row>
    <row r="513" spans="1:9" ht="12" customHeight="1">
      <c r="A513" s="151"/>
      <c r="B513" s="1"/>
      <c r="C513" s="1"/>
      <c r="D513" s="66"/>
      <c r="E513" s="66"/>
      <c r="F513" s="2"/>
      <c r="G513" s="2"/>
      <c r="H513" s="2"/>
      <c r="I513" s="2"/>
    </row>
    <row r="514" spans="1:9" ht="12" customHeight="1">
      <c r="A514" s="151"/>
      <c r="B514" s="1"/>
      <c r="C514" s="1"/>
      <c r="D514" s="66"/>
      <c r="E514" s="66"/>
      <c r="F514" s="2"/>
      <c r="G514" s="2"/>
      <c r="H514" s="2"/>
      <c r="I514" s="2"/>
    </row>
    <row r="515" spans="1:9" ht="12" customHeight="1">
      <c r="A515" s="151"/>
      <c r="B515" s="1"/>
      <c r="C515" s="1"/>
      <c r="D515" s="66"/>
      <c r="E515" s="66"/>
      <c r="F515" s="2"/>
      <c r="G515" s="2"/>
      <c r="H515" s="2"/>
      <c r="I515" s="2"/>
    </row>
    <row r="516" spans="1:9" ht="12" customHeight="1">
      <c r="A516" s="151"/>
      <c r="B516" s="1"/>
      <c r="C516" s="1"/>
      <c r="D516" s="66"/>
      <c r="E516" s="66"/>
      <c r="F516" s="2"/>
      <c r="G516" s="2"/>
      <c r="H516" s="2"/>
      <c r="I516" s="2"/>
    </row>
    <row r="517" spans="1:9" ht="12" customHeight="1">
      <c r="A517" s="151"/>
      <c r="B517" s="1"/>
      <c r="C517" s="1"/>
      <c r="D517" s="66"/>
      <c r="E517" s="66"/>
      <c r="F517" s="2"/>
      <c r="G517" s="2"/>
      <c r="H517" s="2"/>
      <c r="I517" s="2"/>
    </row>
    <row r="518" spans="1:9" ht="12" customHeight="1">
      <c r="A518" s="151"/>
      <c r="B518" s="1"/>
      <c r="C518" s="1"/>
      <c r="D518" s="66"/>
      <c r="E518" s="66"/>
      <c r="F518" s="2"/>
      <c r="G518" s="2"/>
      <c r="H518" s="2"/>
      <c r="I518" s="2"/>
    </row>
    <row r="519" spans="1:9" ht="12" customHeight="1">
      <c r="A519" s="151"/>
      <c r="B519" s="1"/>
      <c r="C519" s="1"/>
      <c r="D519" s="66"/>
      <c r="E519" s="66"/>
      <c r="F519" s="2"/>
      <c r="G519" s="2"/>
      <c r="H519" s="2"/>
      <c r="I519" s="2"/>
    </row>
    <row r="520" spans="1:9" ht="12" customHeight="1">
      <c r="A520" s="151"/>
      <c r="B520" s="1"/>
      <c r="C520" s="1"/>
      <c r="D520" s="66"/>
      <c r="E520" s="66"/>
      <c r="F520" s="2"/>
      <c r="G520" s="2"/>
      <c r="H520" s="2"/>
      <c r="I520" s="2"/>
    </row>
    <row r="521" spans="1:9" ht="12" customHeight="1">
      <c r="A521" s="151"/>
      <c r="B521" s="1"/>
      <c r="C521" s="1"/>
      <c r="D521" s="66"/>
      <c r="E521" s="66"/>
      <c r="F521" s="2"/>
      <c r="G521" s="2"/>
      <c r="H521" s="2"/>
      <c r="I521" s="2"/>
    </row>
    <row r="522" spans="1:9" ht="12" customHeight="1">
      <c r="A522" s="151"/>
      <c r="B522" s="1"/>
      <c r="C522" s="1"/>
      <c r="D522" s="66"/>
      <c r="E522" s="66"/>
      <c r="F522" s="2"/>
      <c r="G522" s="2"/>
      <c r="H522" s="2"/>
      <c r="I522" s="2"/>
    </row>
    <row r="523" spans="1:9" ht="12" customHeight="1">
      <c r="A523" s="151"/>
      <c r="B523" s="1"/>
      <c r="C523" s="1"/>
      <c r="D523" s="66"/>
      <c r="E523" s="66"/>
      <c r="F523" s="2"/>
      <c r="G523" s="2"/>
      <c r="H523" s="2"/>
      <c r="I523" s="2"/>
    </row>
    <row r="524" spans="1:9" ht="12" customHeight="1">
      <c r="A524" s="151"/>
      <c r="B524" s="1"/>
      <c r="C524" s="1"/>
      <c r="D524" s="66"/>
      <c r="E524" s="66"/>
      <c r="F524" s="2"/>
      <c r="G524" s="2"/>
      <c r="H524" s="2"/>
      <c r="I524" s="2"/>
    </row>
    <row r="525" spans="1:9" ht="12" customHeight="1">
      <c r="A525" s="151"/>
      <c r="B525" s="1"/>
      <c r="C525" s="1"/>
      <c r="D525" s="66"/>
      <c r="E525" s="66"/>
      <c r="F525" s="2"/>
      <c r="G525" s="2"/>
      <c r="H525" s="2"/>
      <c r="I525" s="2"/>
    </row>
    <row r="526" spans="1:9" ht="12" customHeight="1">
      <c r="A526" s="151"/>
      <c r="B526" s="1"/>
      <c r="C526" s="1"/>
      <c r="D526" s="66"/>
      <c r="E526" s="66"/>
      <c r="F526" s="2"/>
      <c r="G526" s="2"/>
      <c r="H526" s="2"/>
      <c r="I526" s="2"/>
    </row>
    <row r="527" spans="1:9" ht="12" customHeight="1">
      <c r="A527" s="151"/>
      <c r="B527" s="1"/>
      <c r="C527" s="1"/>
      <c r="D527" s="66"/>
      <c r="E527" s="66"/>
      <c r="F527" s="2"/>
      <c r="G527" s="2"/>
      <c r="H527" s="2"/>
      <c r="I527" s="2"/>
    </row>
    <row r="528" spans="1:9" ht="12" customHeight="1">
      <c r="A528" s="151"/>
      <c r="B528" s="1"/>
      <c r="C528" s="1"/>
      <c r="D528" s="66"/>
      <c r="E528" s="66"/>
      <c r="F528" s="2"/>
      <c r="G528" s="2"/>
      <c r="H528" s="2"/>
      <c r="I528" s="2"/>
    </row>
    <row r="529" spans="1:9" ht="12" customHeight="1">
      <c r="A529" s="151"/>
      <c r="B529" s="1"/>
      <c r="C529" s="1"/>
      <c r="D529" s="66"/>
      <c r="E529" s="66"/>
      <c r="F529" s="2"/>
      <c r="G529" s="2"/>
      <c r="H529" s="2"/>
      <c r="I529" s="2"/>
    </row>
    <row r="530" spans="1:9" ht="12" customHeight="1">
      <c r="A530" s="151"/>
      <c r="B530" s="1"/>
      <c r="C530" s="1"/>
      <c r="D530" s="66"/>
      <c r="E530" s="66"/>
      <c r="F530" s="2"/>
      <c r="G530" s="2"/>
      <c r="H530" s="2"/>
      <c r="I530" s="2"/>
    </row>
    <row r="531" spans="1:9" ht="12" customHeight="1">
      <c r="A531" s="151"/>
      <c r="B531" s="1"/>
      <c r="C531" s="1"/>
      <c r="D531" s="66"/>
      <c r="E531" s="66"/>
      <c r="F531" s="2"/>
      <c r="G531" s="2"/>
      <c r="H531" s="2"/>
      <c r="I531" s="2"/>
    </row>
    <row r="532" spans="1:9" ht="12" customHeight="1">
      <c r="A532" s="151"/>
      <c r="B532" s="1"/>
      <c r="C532" s="1"/>
      <c r="D532" s="66"/>
      <c r="E532" s="66"/>
      <c r="F532" s="2"/>
      <c r="G532" s="2"/>
      <c r="H532" s="2"/>
      <c r="I532" s="2"/>
    </row>
    <row r="533" spans="1:9" ht="12" customHeight="1">
      <c r="A533" s="151"/>
      <c r="B533" s="1"/>
      <c r="C533" s="1"/>
      <c r="D533" s="66"/>
      <c r="E533" s="66"/>
      <c r="F533" s="2"/>
      <c r="G533" s="2"/>
      <c r="H533" s="2"/>
      <c r="I533" s="2"/>
    </row>
    <row r="534" spans="1:9" ht="12" customHeight="1">
      <c r="A534" s="151"/>
      <c r="B534" s="1"/>
      <c r="C534" s="1"/>
      <c r="D534" s="66"/>
      <c r="E534" s="66"/>
      <c r="F534" s="2"/>
      <c r="G534" s="2"/>
      <c r="H534" s="2"/>
      <c r="I534" s="2"/>
    </row>
    <row r="535" spans="1:9" ht="12" customHeight="1">
      <c r="A535" s="151"/>
      <c r="B535" s="1"/>
      <c r="C535" s="1"/>
      <c r="D535" s="66"/>
      <c r="E535" s="66"/>
      <c r="F535" s="2"/>
      <c r="G535" s="2"/>
      <c r="H535" s="2"/>
      <c r="I535" s="2"/>
    </row>
    <row r="536" spans="1:9" ht="12" customHeight="1">
      <c r="A536" s="151"/>
      <c r="B536" s="1"/>
      <c r="C536" s="1"/>
      <c r="D536" s="66"/>
      <c r="E536" s="66"/>
      <c r="F536" s="2"/>
      <c r="G536" s="2"/>
      <c r="H536" s="2"/>
      <c r="I536" s="2"/>
    </row>
    <row r="537" spans="1:9" ht="12" customHeight="1">
      <c r="A537" s="151"/>
      <c r="B537" s="1"/>
      <c r="C537" s="1"/>
      <c r="D537" s="66"/>
      <c r="E537" s="66"/>
      <c r="F537" s="2"/>
      <c r="G537" s="2"/>
      <c r="H537" s="2"/>
      <c r="I537" s="2"/>
    </row>
    <row r="538" spans="1:9" ht="12" customHeight="1">
      <c r="A538" s="151"/>
      <c r="B538" s="1"/>
      <c r="C538" s="1"/>
      <c r="D538" s="66"/>
      <c r="E538" s="66"/>
      <c r="F538" s="2"/>
      <c r="G538" s="2"/>
      <c r="H538" s="2"/>
      <c r="I538" s="2"/>
    </row>
    <row r="539" spans="1:9" ht="12" customHeight="1">
      <c r="A539" s="151"/>
      <c r="B539" s="1"/>
      <c r="C539" s="1"/>
      <c r="D539" s="66"/>
      <c r="E539" s="66"/>
      <c r="F539" s="2"/>
      <c r="G539" s="2"/>
      <c r="H539" s="2"/>
      <c r="I539" s="2"/>
    </row>
    <row r="540" spans="1:9" ht="12" customHeight="1">
      <c r="A540" s="151"/>
      <c r="B540" s="1"/>
      <c r="C540" s="1"/>
      <c r="D540" s="66"/>
      <c r="E540" s="66"/>
      <c r="F540" s="2"/>
      <c r="G540" s="2"/>
      <c r="H540" s="2"/>
      <c r="I540" s="2"/>
    </row>
    <row r="541" spans="1:9" ht="12" customHeight="1">
      <c r="A541" s="151"/>
      <c r="B541" s="1"/>
      <c r="C541" s="1"/>
      <c r="D541" s="66"/>
      <c r="E541" s="66"/>
      <c r="F541" s="2"/>
      <c r="G541" s="2"/>
      <c r="H541" s="2"/>
      <c r="I541" s="2"/>
    </row>
    <row r="542" spans="1:9" ht="12" customHeight="1">
      <c r="A542" s="151"/>
      <c r="B542" s="1"/>
      <c r="C542" s="1"/>
      <c r="D542" s="66"/>
      <c r="E542" s="66"/>
      <c r="F542" s="2"/>
      <c r="G542" s="2"/>
      <c r="H542" s="2"/>
      <c r="I542" s="2"/>
    </row>
    <row r="543" spans="1:9" ht="12" customHeight="1">
      <c r="A543" s="151"/>
      <c r="B543" s="1"/>
      <c r="C543" s="1"/>
      <c r="D543" s="66"/>
      <c r="E543" s="66"/>
      <c r="F543" s="2"/>
      <c r="G543" s="2"/>
      <c r="H543" s="2"/>
      <c r="I543" s="2"/>
    </row>
    <row r="544" spans="1:9" ht="12" customHeight="1">
      <c r="A544" s="151"/>
      <c r="B544" s="1"/>
      <c r="C544" s="1"/>
      <c r="D544" s="66"/>
      <c r="E544" s="66"/>
      <c r="F544" s="2"/>
      <c r="G544" s="2"/>
      <c r="H544" s="2"/>
      <c r="I544" s="2"/>
    </row>
    <row r="545" spans="1:9" ht="12" customHeight="1">
      <c r="A545" s="151"/>
      <c r="B545" s="1"/>
      <c r="C545" s="1"/>
      <c r="D545" s="66"/>
      <c r="E545" s="66"/>
      <c r="F545" s="2"/>
      <c r="G545" s="2"/>
      <c r="H545" s="2"/>
      <c r="I545" s="2"/>
    </row>
    <row r="546" spans="1:9" ht="12" customHeight="1">
      <c r="A546" s="151"/>
      <c r="B546" s="1"/>
      <c r="C546" s="1"/>
      <c r="D546" s="66"/>
      <c r="E546" s="66"/>
      <c r="F546" s="2"/>
      <c r="G546" s="2"/>
      <c r="H546" s="2"/>
      <c r="I546" s="2"/>
    </row>
    <row r="547" spans="1:9" ht="12" customHeight="1">
      <c r="A547" s="151"/>
      <c r="B547" s="1"/>
      <c r="C547" s="1"/>
      <c r="D547" s="66"/>
      <c r="E547" s="66"/>
      <c r="F547" s="2"/>
      <c r="G547" s="2"/>
      <c r="H547" s="2"/>
      <c r="I547" s="2"/>
    </row>
    <row r="548" spans="1:9" ht="12" customHeight="1">
      <c r="A548" s="151"/>
      <c r="B548" s="1"/>
      <c r="C548" s="1"/>
      <c r="D548" s="66"/>
      <c r="E548" s="66"/>
      <c r="F548" s="2"/>
      <c r="G548" s="2"/>
      <c r="H548" s="2"/>
      <c r="I548" s="2"/>
    </row>
    <row r="549" spans="1:9" ht="12" customHeight="1">
      <c r="A549" s="151"/>
      <c r="B549" s="1"/>
      <c r="C549" s="1"/>
      <c r="D549" s="66"/>
      <c r="E549" s="66"/>
      <c r="F549" s="2"/>
      <c r="G549" s="2"/>
      <c r="H549" s="2"/>
      <c r="I549" s="2"/>
    </row>
    <row r="550" spans="1:9" ht="12" customHeight="1">
      <c r="A550" s="151"/>
      <c r="B550" s="1"/>
      <c r="C550" s="1"/>
      <c r="D550" s="66"/>
      <c r="E550" s="66"/>
      <c r="F550" s="2"/>
      <c r="G550" s="2"/>
      <c r="H550" s="2"/>
      <c r="I550" s="2"/>
    </row>
    <row r="551" spans="1:9" ht="12" customHeight="1">
      <c r="A551" s="151"/>
      <c r="B551" s="1"/>
      <c r="C551" s="1"/>
      <c r="D551" s="66"/>
      <c r="E551" s="66"/>
      <c r="F551" s="2"/>
      <c r="G551" s="2"/>
      <c r="H551" s="2"/>
      <c r="I551" s="2"/>
    </row>
    <row r="552" spans="1:9">
      <c r="A552" s="151"/>
      <c r="B552" s="1"/>
      <c r="C552" s="1"/>
      <c r="D552" s="66"/>
      <c r="E552" s="66"/>
      <c r="F552" s="2"/>
      <c r="G552" s="2"/>
      <c r="H552" s="2"/>
      <c r="I552" s="2"/>
    </row>
    <row r="553" spans="1:9">
      <c r="A553" s="151"/>
      <c r="B553" s="1"/>
      <c r="C553" s="1"/>
      <c r="D553" s="66"/>
      <c r="E553" s="66"/>
      <c r="F553" s="2"/>
      <c r="G553" s="2"/>
      <c r="H553" s="2"/>
      <c r="I553" s="2"/>
    </row>
    <row r="554" spans="1:9">
      <c r="A554" s="151"/>
      <c r="B554" s="1"/>
      <c r="C554" s="1"/>
      <c r="D554" s="66"/>
      <c r="E554" s="66"/>
      <c r="F554" s="2"/>
      <c r="G554" s="2"/>
      <c r="H554" s="2"/>
      <c r="I554" s="2"/>
    </row>
    <row r="555" spans="1:9">
      <c r="A555" s="151"/>
      <c r="B555" s="1"/>
      <c r="C555" s="1"/>
      <c r="D555" s="66"/>
      <c r="E555" s="66"/>
      <c r="F555" s="2"/>
      <c r="G555" s="2"/>
      <c r="H555" s="2"/>
      <c r="I555" s="2"/>
    </row>
    <row r="556" spans="1:9">
      <c r="A556" s="151"/>
      <c r="B556" s="1"/>
      <c r="C556" s="1"/>
      <c r="D556" s="66"/>
      <c r="E556" s="66"/>
      <c r="F556" s="2"/>
      <c r="G556" s="2"/>
      <c r="H556" s="2"/>
      <c r="I556" s="2"/>
    </row>
    <row r="557" spans="1:9">
      <c r="A557" s="151"/>
      <c r="B557" s="1"/>
      <c r="C557" s="1"/>
      <c r="D557" s="66"/>
      <c r="E557" s="66"/>
      <c r="F557" s="2"/>
      <c r="G557" s="2"/>
      <c r="H557" s="2"/>
      <c r="I557" s="2"/>
    </row>
    <row r="558" spans="1:9">
      <c r="A558" s="151"/>
      <c r="B558" s="1"/>
      <c r="C558" s="1"/>
      <c r="D558" s="66"/>
      <c r="E558" s="66"/>
      <c r="F558" s="2"/>
      <c r="G558" s="2"/>
      <c r="H558" s="2"/>
      <c r="I558" s="2"/>
    </row>
    <row r="559" spans="1:9">
      <c r="A559" s="151"/>
      <c r="B559" s="1"/>
      <c r="C559" s="1"/>
      <c r="D559" s="66"/>
      <c r="E559" s="66"/>
      <c r="F559" s="2"/>
      <c r="G559" s="2"/>
      <c r="H559" s="2"/>
      <c r="I559" s="2"/>
    </row>
    <row r="560" spans="1:9">
      <c r="A560" s="151"/>
      <c r="B560" s="1"/>
      <c r="C560" s="1"/>
      <c r="D560" s="66"/>
      <c r="E560" s="66"/>
      <c r="F560" s="2"/>
      <c r="G560" s="2"/>
      <c r="H560" s="2"/>
      <c r="I560" s="2"/>
    </row>
    <row r="561" spans="1:9">
      <c r="A561" s="151"/>
      <c r="B561" s="1"/>
      <c r="C561" s="1"/>
      <c r="D561" s="66"/>
      <c r="E561" s="66"/>
      <c r="F561" s="2"/>
      <c r="G561" s="2"/>
      <c r="H561" s="2"/>
      <c r="I561" s="2"/>
    </row>
    <row r="562" spans="1:9">
      <c r="A562" s="151"/>
      <c r="B562" s="1"/>
      <c r="C562" s="1"/>
      <c r="D562" s="66"/>
      <c r="E562" s="66"/>
      <c r="F562" s="2"/>
      <c r="G562" s="2"/>
      <c r="H562" s="2"/>
      <c r="I562" s="2"/>
    </row>
    <row r="563" spans="1:9">
      <c r="A563" s="151"/>
      <c r="B563" s="1"/>
      <c r="C563" s="1"/>
      <c r="D563" s="66"/>
      <c r="E563" s="66"/>
      <c r="F563" s="2"/>
      <c r="G563" s="2"/>
      <c r="H563" s="2"/>
      <c r="I563" s="2"/>
    </row>
    <row r="564" spans="1:9">
      <c r="A564" s="151"/>
      <c r="B564" s="1"/>
      <c r="C564" s="1"/>
      <c r="D564" s="66"/>
      <c r="E564" s="66"/>
      <c r="F564" s="2"/>
      <c r="G564" s="2"/>
      <c r="H564" s="2"/>
      <c r="I564" s="2"/>
    </row>
    <row r="565" spans="1:9">
      <c r="A565" s="151"/>
      <c r="B565" s="1"/>
      <c r="C565" s="1"/>
      <c r="D565" s="66"/>
      <c r="E565" s="66"/>
      <c r="F565" s="2"/>
      <c r="G565" s="2"/>
      <c r="H565" s="2"/>
      <c r="I565" s="2"/>
    </row>
    <row r="566" spans="1:9">
      <c r="A566" s="151"/>
      <c r="B566" s="1"/>
      <c r="C566" s="1"/>
      <c r="D566" s="66"/>
      <c r="E566" s="66"/>
      <c r="F566" s="2"/>
      <c r="G566" s="2"/>
      <c r="H566" s="2"/>
      <c r="I566" s="2"/>
    </row>
    <row r="567" spans="1:9">
      <c r="A567" s="151"/>
      <c r="B567" s="1"/>
      <c r="C567" s="1"/>
      <c r="D567" s="66"/>
      <c r="E567" s="66"/>
      <c r="F567" s="2"/>
      <c r="G567" s="2"/>
      <c r="H567" s="2"/>
      <c r="I567" s="2"/>
    </row>
    <row r="568" spans="1:9">
      <c r="A568" s="151"/>
      <c r="B568" s="1"/>
      <c r="C568" s="1"/>
      <c r="D568" s="66"/>
      <c r="E568" s="66"/>
      <c r="F568" s="2"/>
      <c r="G568" s="2"/>
      <c r="H568" s="2"/>
      <c r="I568" s="2"/>
    </row>
    <row r="569" spans="1:9">
      <c r="A569" s="151"/>
      <c r="B569" s="1"/>
      <c r="C569" s="1"/>
      <c r="D569" s="66"/>
      <c r="E569" s="66"/>
      <c r="F569" s="2"/>
      <c r="G569" s="2"/>
      <c r="H569" s="2"/>
      <c r="I569" s="2"/>
    </row>
    <row r="570" spans="1:9">
      <c r="A570" s="151"/>
      <c r="B570" s="1"/>
      <c r="C570" s="1"/>
      <c r="D570" s="66"/>
      <c r="E570" s="66"/>
      <c r="F570" s="2"/>
      <c r="G570" s="2"/>
      <c r="H570" s="2"/>
      <c r="I570" s="2"/>
    </row>
    <row r="571" spans="1:9">
      <c r="A571" s="151"/>
      <c r="B571" s="1"/>
      <c r="C571" s="1"/>
      <c r="D571" s="66"/>
      <c r="E571" s="66"/>
      <c r="F571" s="2"/>
      <c r="G571" s="2"/>
      <c r="H571" s="2"/>
      <c r="I571" s="2"/>
    </row>
    <row r="572" spans="1:9">
      <c r="A572" s="151"/>
      <c r="B572" s="1"/>
      <c r="C572" s="1"/>
      <c r="D572" s="66"/>
      <c r="E572" s="66"/>
      <c r="F572" s="2"/>
      <c r="G572" s="2"/>
      <c r="H572" s="2"/>
      <c r="I572" s="2"/>
    </row>
    <row r="573" spans="1:9">
      <c r="A573" s="151"/>
      <c r="B573" s="1"/>
      <c r="C573" s="1"/>
      <c r="D573" s="66"/>
      <c r="E573" s="66"/>
      <c r="F573" s="2"/>
      <c r="G573" s="2"/>
      <c r="H573" s="2"/>
      <c r="I573" s="2"/>
    </row>
    <row r="574" spans="1:9">
      <c r="A574" s="151"/>
      <c r="B574" s="1"/>
      <c r="C574" s="1"/>
      <c r="D574" s="66"/>
      <c r="E574" s="66"/>
      <c r="F574" s="2"/>
      <c r="G574" s="2"/>
      <c r="H574" s="2"/>
      <c r="I574" s="2"/>
    </row>
    <row r="575" spans="1:9">
      <c r="A575" s="151"/>
      <c r="B575" s="1"/>
      <c r="C575" s="1"/>
      <c r="D575" s="66"/>
      <c r="E575" s="66"/>
      <c r="F575" s="2"/>
      <c r="G575" s="2"/>
      <c r="H575" s="2"/>
      <c r="I575" s="2"/>
    </row>
    <row r="576" spans="1:9">
      <c r="A576" s="151"/>
      <c r="B576" s="1"/>
      <c r="C576" s="1"/>
      <c r="D576" s="66"/>
      <c r="E576" s="66"/>
      <c r="F576" s="2"/>
      <c r="G576" s="2"/>
      <c r="H576" s="2"/>
      <c r="I576" s="2"/>
    </row>
    <row r="577" spans="1:9">
      <c r="A577" s="151"/>
      <c r="B577" s="1"/>
      <c r="C577" s="1"/>
      <c r="D577" s="66"/>
      <c r="E577" s="66"/>
      <c r="F577" s="2"/>
      <c r="G577" s="2"/>
      <c r="H577" s="2"/>
      <c r="I577" s="2"/>
    </row>
    <row r="578" spans="1:9">
      <c r="A578" s="151"/>
      <c r="B578" s="1"/>
      <c r="C578" s="1"/>
      <c r="D578" s="66"/>
      <c r="E578" s="66"/>
      <c r="F578" s="2"/>
      <c r="G578" s="2"/>
      <c r="H578" s="2"/>
      <c r="I578" s="2"/>
    </row>
    <row r="579" spans="1:9">
      <c r="A579" s="151"/>
      <c r="B579" s="1"/>
      <c r="C579" s="1"/>
      <c r="D579" s="66"/>
      <c r="E579" s="66"/>
      <c r="F579" s="2"/>
      <c r="G579" s="2"/>
      <c r="H579" s="2"/>
      <c r="I579" s="2"/>
    </row>
    <row r="580" spans="1:9">
      <c r="A580" s="151"/>
      <c r="B580" s="1"/>
      <c r="C580" s="1"/>
      <c r="D580" s="66"/>
      <c r="E580" s="66"/>
      <c r="F580" s="2"/>
      <c r="G580" s="2"/>
      <c r="H580" s="2"/>
      <c r="I580" s="2"/>
    </row>
    <row r="581" spans="1:9">
      <c r="A581" s="151"/>
      <c r="B581" s="1"/>
      <c r="C581" s="1"/>
      <c r="D581" s="66"/>
      <c r="E581" s="66"/>
      <c r="F581" s="2"/>
      <c r="G581" s="2"/>
      <c r="H581" s="2"/>
      <c r="I581" s="2"/>
    </row>
    <row r="582" spans="1:9">
      <c r="A582" s="151"/>
      <c r="B582" s="1"/>
      <c r="C582" s="1"/>
      <c r="D582" s="66"/>
      <c r="E582" s="66"/>
      <c r="F582" s="2"/>
      <c r="G582" s="2"/>
      <c r="H582" s="2"/>
      <c r="I582" s="2"/>
    </row>
    <row r="583" spans="1:9">
      <c r="A583" s="151"/>
      <c r="B583" s="1"/>
      <c r="C583" s="1"/>
      <c r="D583" s="66"/>
      <c r="E583" s="66"/>
      <c r="F583" s="2"/>
      <c r="G583" s="2"/>
      <c r="H583" s="2"/>
      <c r="I583" s="2"/>
    </row>
    <row r="584" spans="1:9">
      <c r="A584" s="151"/>
      <c r="B584" s="1"/>
      <c r="C584" s="1"/>
      <c r="D584" s="66"/>
      <c r="E584" s="66"/>
      <c r="F584" s="2"/>
      <c r="G584" s="2"/>
      <c r="H584" s="2"/>
      <c r="I584" s="2"/>
    </row>
    <row r="585" spans="1:9">
      <c r="A585" s="151"/>
      <c r="B585" s="1"/>
      <c r="C585" s="1"/>
      <c r="D585" s="66"/>
      <c r="E585" s="66"/>
      <c r="F585" s="2"/>
      <c r="G585" s="2"/>
      <c r="H585" s="2"/>
      <c r="I585" s="2"/>
    </row>
    <row r="586" spans="1:9">
      <c r="A586" s="151"/>
      <c r="B586" s="1"/>
      <c r="C586" s="1"/>
      <c r="D586" s="66"/>
      <c r="E586" s="66"/>
      <c r="F586" s="2"/>
      <c r="G586" s="2"/>
      <c r="H586" s="2"/>
      <c r="I586" s="2"/>
    </row>
    <row r="587" spans="1:9">
      <c r="A587" s="151"/>
      <c r="B587" s="1"/>
      <c r="C587" s="1"/>
      <c r="D587" s="66"/>
      <c r="E587" s="66"/>
      <c r="F587" s="2"/>
      <c r="G587" s="2"/>
      <c r="H587" s="2"/>
      <c r="I587" s="2"/>
    </row>
    <row r="588" spans="1:9">
      <c r="A588" s="151"/>
      <c r="B588" s="1"/>
      <c r="C588" s="1"/>
      <c r="D588" s="66"/>
      <c r="E588" s="66"/>
      <c r="F588" s="2"/>
      <c r="G588" s="2"/>
      <c r="H588" s="2"/>
      <c r="I588" s="2"/>
    </row>
    <row r="589" spans="1:9">
      <c r="A589" s="151"/>
      <c r="B589" s="1"/>
      <c r="C589" s="1"/>
      <c r="D589" s="66"/>
      <c r="E589" s="66"/>
      <c r="F589" s="2"/>
      <c r="G589" s="2"/>
      <c r="H589" s="2"/>
      <c r="I589" s="2"/>
    </row>
    <row r="590" spans="1:9">
      <c r="A590" s="151"/>
      <c r="B590" s="1"/>
      <c r="C590" s="1"/>
      <c r="D590" s="66"/>
      <c r="E590" s="66"/>
      <c r="F590" s="2"/>
      <c r="G590" s="2"/>
      <c r="H590" s="2"/>
      <c r="I590" s="2"/>
    </row>
    <row r="591" spans="1:9">
      <c r="A591" s="151"/>
      <c r="B591" s="1"/>
      <c r="C591" s="1"/>
      <c r="D591" s="66"/>
      <c r="E591" s="66"/>
      <c r="F591" s="2"/>
      <c r="G591" s="2"/>
      <c r="H591" s="2"/>
      <c r="I591" s="2"/>
    </row>
    <row r="592" spans="1:9">
      <c r="A592" s="151"/>
      <c r="B592" s="1"/>
      <c r="C592" s="1"/>
      <c r="D592" s="66"/>
      <c r="E592" s="66"/>
      <c r="F592" s="2"/>
      <c r="G592" s="2"/>
      <c r="H592" s="2"/>
      <c r="I592" s="2"/>
    </row>
    <row r="593" spans="1:9">
      <c r="A593" s="151"/>
      <c r="B593" s="1"/>
      <c r="C593" s="1"/>
      <c r="D593" s="66"/>
      <c r="E593" s="66"/>
      <c r="F593" s="2"/>
      <c r="G593" s="2"/>
      <c r="H593" s="2"/>
      <c r="I593" s="2"/>
    </row>
    <row r="594" spans="1:9">
      <c r="A594" s="151"/>
      <c r="B594" s="1"/>
      <c r="C594" s="1"/>
      <c r="D594" s="66"/>
      <c r="E594" s="66"/>
      <c r="F594" s="2"/>
      <c r="G594" s="2"/>
      <c r="H594" s="2"/>
      <c r="I594" s="2"/>
    </row>
    <row r="595" spans="1:9">
      <c r="A595" s="151"/>
      <c r="B595" s="1"/>
      <c r="C595" s="1"/>
      <c r="D595" s="66"/>
      <c r="E595" s="66"/>
      <c r="F595" s="2"/>
      <c r="G595" s="2"/>
      <c r="H595" s="2"/>
      <c r="I595" s="2"/>
    </row>
    <row r="596" spans="1:9">
      <c r="A596" s="151"/>
      <c r="B596" s="1"/>
      <c r="C596" s="1"/>
      <c r="D596" s="66"/>
      <c r="E596" s="66"/>
      <c r="F596" s="2"/>
      <c r="G596" s="2"/>
      <c r="H596" s="2"/>
      <c r="I596" s="2"/>
    </row>
    <row r="597" spans="1:9">
      <c r="A597" s="151"/>
      <c r="B597" s="1"/>
      <c r="C597" s="1"/>
      <c r="D597" s="66"/>
      <c r="E597" s="66"/>
      <c r="F597" s="2"/>
      <c r="G597" s="2"/>
      <c r="H597" s="2"/>
      <c r="I597" s="2"/>
    </row>
    <row r="598" spans="1:9">
      <c r="A598" s="151"/>
      <c r="B598" s="1"/>
      <c r="C598" s="1"/>
      <c r="D598" s="66"/>
      <c r="E598" s="66"/>
      <c r="F598" s="2"/>
      <c r="G598" s="2"/>
      <c r="H598" s="2"/>
      <c r="I598" s="2"/>
    </row>
    <row r="599" spans="1:9">
      <c r="A599" s="151"/>
      <c r="B599" s="1"/>
      <c r="C599" s="1"/>
      <c r="D599" s="66"/>
      <c r="E599" s="66"/>
      <c r="F599" s="2"/>
      <c r="G599" s="2"/>
      <c r="H599" s="2"/>
      <c r="I599" s="2"/>
    </row>
    <row r="600" spans="1:9">
      <c r="A600" s="151"/>
      <c r="B600" s="1"/>
      <c r="C600" s="1"/>
      <c r="D600" s="66"/>
      <c r="E600" s="66"/>
      <c r="F600" s="2"/>
      <c r="G600" s="2"/>
      <c r="H600" s="2"/>
      <c r="I600" s="2"/>
    </row>
    <row r="601" spans="1:9">
      <c r="A601" s="151"/>
      <c r="B601" s="1"/>
      <c r="C601" s="1"/>
      <c r="D601" s="66"/>
      <c r="E601" s="66"/>
      <c r="F601" s="2"/>
      <c r="G601" s="2"/>
      <c r="H601" s="2"/>
      <c r="I601" s="2"/>
    </row>
    <row r="602" spans="1:9">
      <c r="A602" s="151"/>
      <c r="B602" s="1"/>
      <c r="C602" s="1"/>
      <c r="D602" s="66"/>
      <c r="E602" s="66"/>
      <c r="F602" s="2"/>
      <c r="G602" s="2"/>
      <c r="H602" s="2"/>
      <c r="I602" s="2"/>
    </row>
    <row r="603" spans="1:9">
      <c r="A603" s="151"/>
      <c r="B603" s="1"/>
      <c r="C603" s="1"/>
      <c r="D603" s="66"/>
      <c r="E603" s="66"/>
      <c r="F603" s="2"/>
      <c r="G603" s="2"/>
      <c r="H603" s="2"/>
      <c r="I603" s="2"/>
    </row>
    <row r="604" spans="1:9">
      <c r="A604" s="151"/>
      <c r="B604" s="1"/>
      <c r="C604" s="1"/>
      <c r="D604" s="66"/>
      <c r="E604" s="66"/>
      <c r="F604" s="2"/>
      <c r="G604" s="2"/>
      <c r="H604" s="2"/>
      <c r="I604" s="2"/>
    </row>
    <row r="605" spans="1:9">
      <c r="A605" s="151"/>
      <c r="B605" s="1"/>
      <c r="C605" s="1"/>
      <c r="D605" s="66"/>
      <c r="E605" s="66"/>
      <c r="F605" s="2"/>
      <c r="G605" s="2"/>
      <c r="H605" s="2"/>
      <c r="I605" s="2"/>
    </row>
    <row r="606" spans="1:9">
      <c r="A606" s="151"/>
      <c r="B606" s="1"/>
      <c r="C606" s="1"/>
      <c r="D606" s="66"/>
      <c r="E606" s="66"/>
      <c r="F606" s="2"/>
      <c r="G606" s="2"/>
      <c r="H606" s="2"/>
      <c r="I606" s="2"/>
    </row>
    <row r="607" spans="1:9">
      <c r="A607" s="151"/>
      <c r="B607" s="1"/>
      <c r="C607" s="1"/>
      <c r="D607" s="66"/>
      <c r="E607" s="66"/>
      <c r="F607" s="2"/>
      <c r="G607" s="2"/>
      <c r="H607" s="2"/>
      <c r="I607" s="2"/>
    </row>
    <row r="608" spans="1:9">
      <c r="A608" s="151"/>
      <c r="B608" s="1"/>
      <c r="C608" s="1"/>
      <c r="D608" s="66"/>
      <c r="E608" s="66"/>
      <c r="F608" s="2"/>
      <c r="G608" s="2"/>
      <c r="H608" s="2"/>
      <c r="I608" s="2"/>
    </row>
    <row r="609" spans="1:9">
      <c r="A609" s="151"/>
      <c r="B609" s="1"/>
      <c r="C609" s="1"/>
      <c r="D609" s="66"/>
      <c r="E609" s="66"/>
      <c r="F609" s="2"/>
      <c r="G609" s="2"/>
      <c r="H609" s="2"/>
      <c r="I609" s="2"/>
    </row>
    <row r="610" spans="1:9">
      <c r="A610" s="151"/>
      <c r="B610" s="1"/>
      <c r="C610" s="1"/>
      <c r="D610" s="66"/>
      <c r="E610" s="66"/>
      <c r="F610" s="2"/>
      <c r="G610" s="2"/>
      <c r="H610" s="2"/>
      <c r="I610" s="2"/>
    </row>
    <row r="611" spans="1:9">
      <c r="A611" s="151"/>
      <c r="B611" s="1"/>
      <c r="C611" s="1"/>
      <c r="D611" s="66"/>
      <c r="E611" s="66"/>
      <c r="F611" s="2"/>
      <c r="G611" s="2"/>
      <c r="H611" s="2"/>
      <c r="I611" s="2"/>
    </row>
    <row r="612" spans="1:9">
      <c r="A612" s="151"/>
      <c r="B612" s="1"/>
      <c r="C612" s="1"/>
      <c r="D612" s="66"/>
      <c r="E612" s="66"/>
      <c r="F612" s="2"/>
      <c r="G612" s="2"/>
      <c r="H612" s="2"/>
      <c r="I612" s="2"/>
    </row>
    <row r="613" spans="1:9">
      <c r="A613" s="151"/>
      <c r="B613" s="1"/>
      <c r="C613" s="1"/>
      <c r="D613" s="66"/>
      <c r="E613" s="66"/>
      <c r="F613" s="2"/>
      <c r="G613" s="2"/>
      <c r="H613" s="2"/>
      <c r="I613" s="2"/>
    </row>
    <row r="614" spans="1:9">
      <c r="A614" s="151"/>
      <c r="B614" s="1"/>
      <c r="C614" s="1"/>
      <c r="D614" s="66"/>
      <c r="E614" s="66"/>
      <c r="F614" s="2"/>
      <c r="G614" s="2"/>
      <c r="H614" s="2"/>
      <c r="I614" s="2"/>
    </row>
    <row r="615" spans="1:9">
      <c r="A615" s="151"/>
      <c r="B615" s="1"/>
      <c r="C615" s="1"/>
      <c r="D615" s="66"/>
      <c r="E615" s="66"/>
      <c r="F615" s="2"/>
      <c r="G615" s="2"/>
      <c r="H615" s="2"/>
      <c r="I615" s="2"/>
    </row>
    <row r="616" spans="1:9">
      <c r="A616" s="151"/>
      <c r="B616" s="1"/>
      <c r="C616" s="1"/>
      <c r="D616" s="66"/>
      <c r="E616" s="66"/>
      <c r="F616" s="2"/>
      <c r="G616" s="2"/>
      <c r="H616" s="2"/>
      <c r="I616" s="2"/>
    </row>
    <row r="617" spans="1:9">
      <c r="A617" s="151"/>
      <c r="B617" s="1"/>
      <c r="C617" s="1"/>
      <c r="D617" s="66"/>
      <c r="E617" s="66"/>
      <c r="F617" s="2"/>
      <c r="G617" s="2"/>
      <c r="H617" s="2"/>
      <c r="I617" s="2"/>
    </row>
    <row r="618" spans="1:9">
      <c r="A618" s="151"/>
      <c r="B618" s="1"/>
      <c r="C618" s="1"/>
      <c r="D618" s="66"/>
      <c r="E618" s="66"/>
      <c r="F618" s="2"/>
      <c r="G618" s="2"/>
      <c r="H618" s="2"/>
      <c r="I618" s="2"/>
    </row>
    <row r="619" spans="1:9">
      <c r="A619" s="151"/>
      <c r="B619" s="1"/>
      <c r="C619" s="1"/>
      <c r="D619" s="66"/>
      <c r="E619" s="66"/>
      <c r="F619" s="2"/>
      <c r="G619" s="2"/>
      <c r="H619" s="2"/>
      <c r="I619" s="2"/>
    </row>
    <row r="620" spans="1:9">
      <c r="A620" s="151"/>
      <c r="B620" s="1"/>
      <c r="C620" s="1"/>
      <c r="D620" s="66"/>
      <c r="E620" s="66"/>
      <c r="F620" s="2"/>
      <c r="G620" s="2"/>
      <c r="H620" s="2"/>
      <c r="I620" s="2"/>
    </row>
    <row r="621" spans="1:9">
      <c r="A621" s="151"/>
      <c r="B621" s="1"/>
      <c r="C621" s="1"/>
      <c r="D621" s="66"/>
      <c r="E621" s="66"/>
      <c r="F621" s="2"/>
      <c r="G621" s="2"/>
      <c r="H621" s="2"/>
      <c r="I621" s="2"/>
    </row>
    <row r="622" spans="1:9">
      <c r="A622" s="151"/>
      <c r="B622" s="1"/>
      <c r="C622" s="1"/>
      <c r="D622" s="66"/>
      <c r="E622" s="66"/>
      <c r="F622" s="2"/>
      <c r="G622" s="2"/>
      <c r="H622" s="2"/>
      <c r="I622" s="2"/>
    </row>
    <row r="623" spans="1:9">
      <c r="A623" s="151"/>
      <c r="B623" s="1"/>
      <c r="C623" s="1"/>
      <c r="D623" s="66"/>
      <c r="E623" s="66"/>
      <c r="F623" s="2"/>
      <c r="G623" s="2"/>
      <c r="H623" s="2"/>
      <c r="I623" s="2"/>
    </row>
    <row r="624" spans="1:9">
      <c r="A624" s="151"/>
      <c r="B624" s="1"/>
      <c r="C624" s="1"/>
      <c r="D624" s="66"/>
      <c r="E624" s="66"/>
      <c r="F624" s="2"/>
      <c r="G624" s="2"/>
      <c r="H624" s="2"/>
      <c r="I624" s="2"/>
    </row>
    <row r="625" spans="1:9">
      <c r="A625" s="151"/>
      <c r="B625" s="1"/>
      <c r="C625" s="1"/>
      <c r="D625" s="66"/>
      <c r="E625" s="66"/>
      <c r="F625" s="2"/>
      <c r="G625" s="2"/>
      <c r="H625" s="2"/>
      <c r="I625" s="2"/>
    </row>
    <row r="626" spans="1:9">
      <c r="A626" s="151"/>
      <c r="B626" s="1"/>
      <c r="C626" s="1"/>
      <c r="D626" s="66"/>
      <c r="E626" s="66"/>
      <c r="F626" s="2"/>
      <c r="G626" s="2"/>
      <c r="H626" s="2"/>
      <c r="I626" s="2"/>
    </row>
    <row r="627" spans="1:9">
      <c r="A627" s="151"/>
      <c r="B627" s="1"/>
      <c r="C627" s="1"/>
      <c r="D627" s="66"/>
      <c r="E627" s="66"/>
      <c r="F627" s="2"/>
      <c r="G627" s="2"/>
      <c r="H627" s="2"/>
      <c r="I627" s="2"/>
    </row>
    <row r="628" spans="1:9">
      <c r="A628" s="151"/>
      <c r="B628" s="1"/>
      <c r="C628" s="1"/>
      <c r="D628" s="66"/>
      <c r="E628" s="66"/>
      <c r="F628" s="2"/>
      <c r="G628" s="2"/>
      <c r="H628" s="2"/>
      <c r="I628" s="2"/>
    </row>
    <row r="629" spans="1:9">
      <c r="A629" s="151"/>
      <c r="B629" s="1"/>
      <c r="C629" s="1"/>
      <c r="D629" s="66"/>
      <c r="E629" s="66"/>
      <c r="F629" s="2"/>
      <c r="G629" s="2"/>
      <c r="H629" s="2"/>
      <c r="I629" s="2"/>
    </row>
    <row r="630" spans="1:9">
      <c r="A630" s="151"/>
      <c r="B630" s="1"/>
      <c r="C630" s="1"/>
      <c r="D630" s="66"/>
      <c r="E630" s="66"/>
      <c r="F630" s="2"/>
      <c r="G630" s="2"/>
      <c r="H630" s="2"/>
      <c r="I630" s="2"/>
    </row>
    <row r="631" spans="1:9">
      <c r="A631" s="151"/>
      <c r="B631" s="1"/>
      <c r="C631" s="1"/>
      <c r="D631" s="66"/>
      <c r="E631" s="66"/>
      <c r="F631" s="2"/>
      <c r="G631" s="2"/>
      <c r="H631" s="2"/>
      <c r="I631" s="2"/>
    </row>
    <row r="632" spans="1:9">
      <c r="A632" s="151"/>
      <c r="B632" s="1"/>
      <c r="C632" s="1"/>
      <c r="D632" s="66"/>
      <c r="E632" s="66"/>
      <c r="F632" s="2"/>
      <c r="G632" s="2"/>
      <c r="H632" s="2"/>
      <c r="I632" s="2"/>
    </row>
    <row r="633" spans="1:9">
      <c r="A633" s="151"/>
      <c r="B633" s="1"/>
      <c r="C633" s="1"/>
      <c r="D633" s="66"/>
      <c r="E633" s="66"/>
      <c r="F633" s="2"/>
      <c r="G633" s="2"/>
      <c r="H633" s="2"/>
      <c r="I633" s="2"/>
    </row>
    <row r="634" spans="1:9">
      <c r="A634" s="151"/>
      <c r="B634" s="1"/>
      <c r="C634" s="1"/>
      <c r="D634" s="66"/>
      <c r="E634" s="66"/>
      <c r="F634" s="2"/>
      <c r="G634" s="2"/>
      <c r="H634" s="2"/>
      <c r="I634" s="2"/>
    </row>
    <row r="635" spans="1:9">
      <c r="A635" s="151"/>
      <c r="B635" s="1"/>
      <c r="C635" s="1"/>
      <c r="D635" s="66"/>
      <c r="E635" s="66"/>
      <c r="F635" s="2"/>
      <c r="G635" s="2"/>
      <c r="H635" s="2"/>
      <c r="I635" s="2"/>
    </row>
    <row r="636" spans="1:9">
      <c r="A636" s="151"/>
      <c r="B636" s="1"/>
      <c r="C636" s="1"/>
      <c r="D636" s="66"/>
      <c r="E636" s="66"/>
      <c r="F636" s="2"/>
      <c r="G636" s="2"/>
      <c r="H636" s="2"/>
      <c r="I636" s="2"/>
    </row>
    <row r="637" spans="1:9">
      <c r="A637" s="151"/>
      <c r="B637" s="1"/>
      <c r="C637" s="1"/>
      <c r="D637" s="66"/>
      <c r="E637" s="66"/>
      <c r="F637" s="2"/>
      <c r="G637" s="2"/>
      <c r="H637" s="2"/>
      <c r="I637" s="2"/>
    </row>
    <row r="638" spans="1:9">
      <c r="A638" s="151"/>
      <c r="B638" s="1"/>
      <c r="C638" s="1"/>
      <c r="D638" s="66"/>
      <c r="E638" s="66"/>
      <c r="F638" s="2"/>
      <c r="G638" s="2"/>
      <c r="H638" s="2"/>
      <c r="I638" s="2"/>
    </row>
    <row r="639" spans="1:9">
      <c r="A639" s="151"/>
      <c r="B639" s="1"/>
      <c r="C639" s="1"/>
      <c r="D639" s="66"/>
      <c r="E639" s="66"/>
      <c r="F639" s="2"/>
      <c r="G639" s="2"/>
      <c r="H639" s="2"/>
      <c r="I639" s="2"/>
    </row>
    <row r="640" spans="1:9">
      <c r="A640" s="151"/>
      <c r="B640" s="1"/>
      <c r="C640" s="1"/>
      <c r="D640" s="66"/>
      <c r="E640" s="66"/>
      <c r="F640" s="2"/>
      <c r="G640" s="2"/>
      <c r="H640" s="2"/>
      <c r="I640" s="2"/>
    </row>
    <row r="641" spans="1:9">
      <c r="A641" s="151"/>
      <c r="B641" s="1"/>
      <c r="C641" s="1"/>
      <c r="D641" s="66"/>
      <c r="E641" s="66"/>
      <c r="F641" s="2"/>
      <c r="G641" s="2"/>
      <c r="H641" s="2"/>
      <c r="I641" s="2"/>
    </row>
    <row r="642" spans="1:9">
      <c r="A642" s="151"/>
      <c r="B642" s="1"/>
      <c r="C642" s="1"/>
      <c r="D642" s="66"/>
      <c r="E642" s="66"/>
      <c r="F642" s="2"/>
      <c r="G642" s="2"/>
      <c r="H642" s="2"/>
      <c r="I642" s="2"/>
    </row>
    <row r="643" spans="1:9">
      <c r="A643" s="151"/>
      <c r="B643" s="1"/>
      <c r="C643" s="1"/>
      <c r="D643" s="66"/>
      <c r="E643" s="66"/>
      <c r="F643" s="2"/>
      <c r="G643" s="2"/>
      <c r="H643" s="2"/>
      <c r="I643" s="2"/>
    </row>
    <row r="644" spans="1:9">
      <c r="A644" s="151"/>
      <c r="B644" s="1"/>
      <c r="C644" s="1"/>
      <c r="D644" s="66"/>
      <c r="E644" s="66"/>
      <c r="F644" s="2"/>
      <c r="G644" s="2"/>
      <c r="H644" s="2"/>
      <c r="I644" s="2"/>
    </row>
    <row r="645" spans="1:9">
      <c r="A645" s="151"/>
      <c r="B645" s="1"/>
      <c r="C645" s="1"/>
      <c r="D645" s="66"/>
      <c r="E645" s="66"/>
      <c r="F645" s="2"/>
      <c r="G645" s="2"/>
      <c r="H645" s="2"/>
      <c r="I645" s="2"/>
    </row>
    <row r="646" spans="1:9">
      <c r="A646" s="151"/>
      <c r="B646" s="1"/>
      <c r="C646" s="1"/>
      <c r="D646" s="66"/>
      <c r="E646" s="66"/>
      <c r="F646" s="2"/>
      <c r="G646" s="2"/>
      <c r="H646" s="2"/>
      <c r="I646" s="2"/>
    </row>
    <row r="647" spans="1:9">
      <c r="A647" s="151"/>
      <c r="B647" s="1"/>
      <c r="C647" s="1"/>
      <c r="D647" s="66"/>
      <c r="E647" s="66"/>
      <c r="F647" s="2"/>
      <c r="G647" s="2"/>
      <c r="H647" s="2"/>
      <c r="I647" s="2"/>
    </row>
    <row r="648" spans="1:9">
      <c r="A648" s="151"/>
      <c r="B648" s="1"/>
      <c r="C648" s="1"/>
      <c r="D648" s="66"/>
      <c r="E648" s="66"/>
      <c r="F648" s="2"/>
      <c r="G648" s="2"/>
      <c r="H648" s="2"/>
      <c r="I648" s="2"/>
    </row>
    <row r="649" spans="1:9">
      <c r="A649" s="151"/>
      <c r="B649" s="1"/>
      <c r="C649" s="1"/>
      <c r="D649" s="66"/>
      <c r="E649" s="66"/>
      <c r="F649" s="2"/>
      <c r="G649" s="2"/>
      <c r="H649" s="2"/>
      <c r="I649" s="2"/>
    </row>
    <row r="650" spans="1:9">
      <c r="A650" s="151"/>
      <c r="B650" s="1"/>
      <c r="C650" s="1"/>
      <c r="D650" s="66"/>
      <c r="E650" s="66"/>
      <c r="F650" s="2"/>
      <c r="G650" s="2"/>
      <c r="H650" s="2"/>
      <c r="I650" s="2"/>
    </row>
    <row r="651" spans="1:9">
      <c r="A651" s="151"/>
      <c r="B651" s="1"/>
      <c r="C651" s="1"/>
      <c r="D651" s="66"/>
      <c r="E651" s="66"/>
      <c r="F651" s="2"/>
      <c r="G651" s="2"/>
      <c r="H651" s="2"/>
      <c r="I651" s="2"/>
    </row>
    <row r="652" spans="1:9">
      <c r="A652" s="151"/>
      <c r="B652" s="1"/>
      <c r="C652" s="1"/>
      <c r="D652" s="66"/>
      <c r="E652" s="66"/>
      <c r="F652" s="2"/>
      <c r="G652" s="2"/>
      <c r="H652" s="2"/>
      <c r="I652" s="2"/>
    </row>
    <row r="653" spans="1:9">
      <c r="A653" s="151"/>
      <c r="B653" s="1"/>
      <c r="C653" s="1"/>
      <c r="D653" s="66"/>
      <c r="E653" s="66"/>
      <c r="F653" s="2"/>
      <c r="G653" s="2"/>
      <c r="H653" s="2"/>
      <c r="I653" s="2"/>
    </row>
    <row r="654" spans="1:9">
      <c r="A654" s="151"/>
      <c r="B654" s="1"/>
      <c r="C654" s="1"/>
      <c r="D654" s="66"/>
      <c r="E654" s="66"/>
      <c r="F654" s="2"/>
      <c r="G654" s="2"/>
      <c r="H654" s="2"/>
      <c r="I654" s="2"/>
    </row>
    <row r="655" spans="1:9">
      <c r="A655" s="151"/>
      <c r="B655" s="1"/>
      <c r="C655" s="1"/>
      <c r="D655" s="66"/>
      <c r="E655" s="66"/>
      <c r="F655" s="2"/>
      <c r="G655" s="2"/>
      <c r="H655" s="2"/>
      <c r="I655" s="2"/>
    </row>
    <row r="656" spans="1:9">
      <c r="A656" s="151"/>
      <c r="B656" s="1"/>
      <c r="C656" s="1"/>
      <c r="D656" s="66"/>
      <c r="E656" s="66"/>
      <c r="F656" s="2"/>
      <c r="G656" s="2"/>
      <c r="H656" s="2"/>
      <c r="I656" s="2"/>
    </row>
    <row r="657" spans="1:9">
      <c r="A657" s="151"/>
      <c r="B657" s="1"/>
      <c r="C657" s="1"/>
      <c r="D657" s="66"/>
      <c r="E657" s="66"/>
      <c r="F657" s="2"/>
      <c r="G657" s="2"/>
      <c r="H657" s="2"/>
      <c r="I657" s="2"/>
    </row>
    <row r="658" spans="1:9">
      <c r="A658" s="151"/>
      <c r="B658" s="1"/>
      <c r="C658" s="1"/>
      <c r="D658" s="66"/>
      <c r="E658" s="66"/>
      <c r="F658" s="2"/>
      <c r="G658" s="2"/>
      <c r="H658" s="2"/>
      <c r="I658" s="2"/>
    </row>
    <row r="659" spans="1:9">
      <c r="A659" s="151"/>
      <c r="B659" s="1"/>
      <c r="C659" s="1"/>
      <c r="D659" s="66"/>
      <c r="E659" s="66"/>
      <c r="F659" s="2"/>
      <c r="G659" s="2"/>
      <c r="H659" s="2"/>
      <c r="I659" s="2"/>
    </row>
    <row r="660" spans="1:9">
      <c r="A660" s="151"/>
      <c r="B660" s="1"/>
      <c r="C660" s="1"/>
      <c r="D660" s="66"/>
      <c r="E660" s="66"/>
      <c r="F660" s="2"/>
      <c r="G660" s="2"/>
      <c r="H660" s="2"/>
      <c r="I660" s="2"/>
    </row>
    <row r="661" spans="1:9">
      <c r="A661" s="151"/>
      <c r="B661" s="1"/>
      <c r="C661" s="1"/>
      <c r="D661" s="66"/>
      <c r="E661" s="66"/>
      <c r="F661" s="2"/>
      <c r="G661" s="2"/>
      <c r="H661" s="2"/>
      <c r="I661" s="2"/>
    </row>
    <row r="662" spans="1:9">
      <c r="A662" s="151"/>
      <c r="B662" s="1"/>
      <c r="C662" s="1"/>
      <c r="D662" s="66"/>
      <c r="E662" s="66"/>
      <c r="F662" s="2"/>
      <c r="G662" s="2"/>
      <c r="H662" s="2"/>
      <c r="I662" s="2"/>
    </row>
    <row r="663" spans="1:9">
      <c r="A663" s="151"/>
      <c r="B663" s="1"/>
      <c r="C663" s="1"/>
      <c r="D663" s="66"/>
      <c r="E663" s="66"/>
      <c r="F663" s="2"/>
      <c r="G663" s="2"/>
      <c r="H663" s="2"/>
      <c r="I663" s="2"/>
    </row>
    <row r="664" spans="1:9">
      <c r="A664" s="151"/>
      <c r="B664" s="1"/>
      <c r="C664" s="1"/>
      <c r="D664" s="66"/>
      <c r="E664" s="66"/>
      <c r="F664" s="2"/>
      <c r="G664" s="2"/>
      <c r="H664" s="2"/>
      <c r="I664" s="2"/>
    </row>
    <row r="665" spans="1:9">
      <c r="A665" s="151"/>
      <c r="B665" s="1"/>
      <c r="C665" s="1"/>
      <c r="D665" s="66"/>
      <c r="E665" s="66"/>
      <c r="F665" s="2"/>
      <c r="G665" s="2"/>
      <c r="H665" s="2"/>
      <c r="I665" s="2"/>
    </row>
    <row r="666" spans="1:9">
      <c r="A666" s="151"/>
      <c r="B666" s="1"/>
      <c r="C666" s="1"/>
      <c r="D666" s="66"/>
      <c r="E666" s="66"/>
      <c r="F666" s="2"/>
      <c r="G666" s="2"/>
      <c r="H666" s="2"/>
      <c r="I666" s="2"/>
    </row>
    <row r="667" spans="1:9">
      <c r="A667" s="151"/>
      <c r="B667" s="1"/>
      <c r="C667" s="1"/>
      <c r="D667" s="66"/>
      <c r="E667" s="66"/>
      <c r="F667" s="2"/>
      <c r="G667" s="2"/>
      <c r="H667" s="2"/>
      <c r="I667" s="2"/>
    </row>
    <row r="668" spans="1:9">
      <c r="A668" s="151"/>
      <c r="B668" s="1"/>
      <c r="C668" s="1"/>
      <c r="D668" s="66"/>
      <c r="E668" s="66"/>
      <c r="F668" s="2"/>
      <c r="G668" s="2"/>
      <c r="H668" s="2"/>
      <c r="I668" s="2"/>
    </row>
    <row r="669" spans="1:9">
      <c r="A669" s="151"/>
      <c r="B669" s="1"/>
      <c r="C669" s="1"/>
      <c r="D669" s="66"/>
      <c r="E669" s="66"/>
      <c r="F669" s="2"/>
      <c r="G669" s="2"/>
      <c r="H669" s="2"/>
      <c r="I669" s="2"/>
    </row>
    <row r="670" spans="1:9">
      <c r="A670" s="151"/>
      <c r="B670" s="1"/>
      <c r="C670" s="1"/>
      <c r="D670" s="66"/>
      <c r="E670" s="66"/>
      <c r="F670" s="2"/>
      <c r="G670" s="2"/>
      <c r="H670" s="2"/>
      <c r="I670" s="2"/>
    </row>
    <row r="671" spans="1:9">
      <c r="A671" s="151"/>
      <c r="B671" s="1"/>
      <c r="C671" s="1"/>
      <c r="D671" s="66"/>
      <c r="E671" s="66"/>
      <c r="F671" s="2"/>
      <c r="G671" s="2"/>
      <c r="H671" s="2"/>
      <c r="I671" s="2"/>
    </row>
    <row r="672" spans="1:9">
      <c r="A672" s="151"/>
      <c r="B672" s="1"/>
      <c r="C672" s="1"/>
      <c r="D672" s="66"/>
      <c r="E672" s="66"/>
      <c r="F672" s="2"/>
      <c r="G672" s="2"/>
      <c r="H672" s="2"/>
      <c r="I672" s="2"/>
    </row>
    <row r="673" spans="1:9">
      <c r="A673" s="151"/>
      <c r="B673" s="1"/>
      <c r="C673" s="1"/>
      <c r="D673" s="66"/>
      <c r="E673" s="66"/>
      <c r="F673" s="2"/>
      <c r="G673" s="2"/>
      <c r="H673" s="2"/>
      <c r="I673" s="2"/>
    </row>
    <row r="674" spans="1:9">
      <c r="A674" s="151"/>
      <c r="B674" s="1"/>
      <c r="C674" s="1"/>
      <c r="D674" s="66"/>
      <c r="E674" s="66"/>
      <c r="F674" s="2"/>
      <c r="G674" s="2"/>
      <c r="H674" s="2"/>
      <c r="I674" s="2"/>
    </row>
    <row r="675" spans="1:9">
      <c r="A675" s="151"/>
      <c r="B675" s="1"/>
      <c r="C675" s="1"/>
      <c r="D675" s="66"/>
      <c r="E675" s="66"/>
      <c r="F675" s="2"/>
      <c r="G675" s="2"/>
      <c r="H675" s="2"/>
      <c r="I675" s="2"/>
    </row>
    <row r="676" spans="1:9">
      <c r="A676" s="151"/>
      <c r="B676" s="1"/>
      <c r="C676" s="1"/>
      <c r="D676" s="66"/>
      <c r="E676" s="66"/>
      <c r="F676" s="2"/>
      <c r="G676" s="2"/>
      <c r="H676" s="2"/>
      <c r="I676" s="2"/>
    </row>
    <row r="677" spans="1:9">
      <c r="A677" s="151"/>
      <c r="B677" s="1"/>
      <c r="C677" s="1"/>
      <c r="D677" s="66"/>
      <c r="E677" s="66"/>
      <c r="F677" s="2"/>
      <c r="G677" s="2"/>
      <c r="H677" s="2"/>
      <c r="I677" s="2"/>
    </row>
    <row r="678" spans="1:9">
      <c r="A678" s="151"/>
      <c r="B678" s="1"/>
      <c r="C678" s="1"/>
      <c r="D678" s="66"/>
      <c r="E678" s="66"/>
      <c r="F678" s="2"/>
      <c r="G678" s="2"/>
      <c r="H678" s="2"/>
      <c r="I678" s="2"/>
    </row>
    <row r="679" spans="1:9">
      <c r="A679" s="151"/>
      <c r="B679" s="1"/>
      <c r="C679" s="1"/>
      <c r="D679" s="66"/>
      <c r="E679" s="66"/>
      <c r="F679" s="2"/>
      <c r="G679" s="2"/>
      <c r="H679" s="2"/>
      <c r="I679" s="2"/>
    </row>
    <row r="680" spans="1:9">
      <c r="A680" s="151"/>
      <c r="B680" s="1"/>
      <c r="C680" s="1"/>
      <c r="D680" s="66"/>
      <c r="E680" s="66"/>
      <c r="F680" s="2"/>
      <c r="G680" s="2"/>
      <c r="H680" s="2"/>
      <c r="I680" s="2"/>
    </row>
    <row r="681" spans="1:9">
      <c r="A681" s="151"/>
      <c r="B681" s="1"/>
      <c r="C681" s="1"/>
      <c r="D681" s="66"/>
      <c r="E681" s="66"/>
      <c r="F681" s="2"/>
      <c r="G681" s="2"/>
      <c r="H681" s="2"/>
      <c r="I681" s="2"/>
    </row>
    <row r="682" spans="1:9">
      <c r="A682" s="151"/>
      <c r="B682" s="1"/>
      <c r="C682" s="1"/>
      <c r="D682" s="66"/>
      <c r="E682" s="66"/>
      <c r="F682" s="2"/>
      <c r="G682" s="2"/>
      <c r="H682" s="2"/>
      <c r="I682" s="2"/>
    </row>
    <row r="683" spans="1:9">
      <c r="A683" s="151"/>
      <c r="B683" s="1"/>
      <c r="C683" s="1"/>
      <c r="D683" s="66"/>
      <c r="E683" s="66"/>
      <c r="F683" s="2"/>
      <c r="G683" s="2"/>
      <c r="H683" s="2"/>
      <c r="I683" s="2"/>
    </row>
    <row r="684" spans="1:9">
      <c r="A684" s="151"/>
      <c r="B684" s="1"/>
      <c r="C684" s="1"/>
      <c r="D684" s="66"/>
      <c r="E684" s="66"/>
      <c r="F684" s="2"/>
      <c r="G684" s="2"/>
      <c r="H684" s="2"/>
      <c r="I684" s="2"/>
    </row>
    <row r="685" spans="1:9">
      <c r="A685" s="151"/>
      <c r="B685" s="1"/>
      <c r="C685" s="1"/>
      <c r="D685" s="66"/>
      <c r="E685" s="66"/>
      <c r="F685" s="2"/>
      <c r="G685" s="2"/>
      <c r="H685" s="2"/>
      <c r="I685" s="2"/>
    </row>
    <row r="686" spans="1:9">
      <c r="A686" s="151"/>
      <c r="B686" s="1"/>
      <c r="C686" s="1"/>
      <c r="D686" s="66"/>
      <c r="E686" s="66"/>
      <c r="F686" s="2"/>
      <c r="G686" s="2"/>
      <c r="H686" s="2"/>
      <c r="I686" s="2"/>
    </row>
    <row r="687" spans="1:9">
      <c r="A687" s="151"/>
      <c r="B687" s="1"/>
      <c r="C687" s="1"/>
      <c r="D687" s="66"/>
      <c r="E687" s="66"/>
      <c r="F687" s="2"/>
      <c r="G687" s="2"/>
      <c r="H687" s="2"/>
      <c r="I687" s="2"/>
    </row>
    <row r="688" spans="1:9">
      <c r="A688" s="151"/>
      <c r="B688" s="1"/>
      <c r="C688" s="1"/>
      <c r="D688" s="66"/>
      <c r="E688" s="66"/>
      <c r="F688" s="2"/>
      <c r="G688" s="2"/>
      <c r="H688" s="2"/>
      <c r="I688" s="2"/>
    </row>
    <row r="689" spans="1:9">
      <c r="A689" s="151"/>
      <c r="B689" s="1"/>
      <c r="C689" s="1"/>
      <c r="D689" s="66"/>
      <c r="E689" s="66"/>
      <c r="F689" s="2"/>
      <c r="G689" s="2"/>
      <c r="H689" s="2"/>
      <c r="I689" s="2"/>
    </row>
    <row r="690" spans="1:9">
      <c r="A690" s="151"/>
      <c r="B690" s="1"/>
      <c r="C690" s="1"/>
      <c r="D690" s="66"/>
      <c r="E690" s="66"/>
      <c r="F690" s="2"/>
      <c r="G690" s="2"/>
      <c r="H690" s="2"/>
      <c r="I690" s="2"/>
    </row>
    <row r="691" spans="1:9">
      <c r="A691" s="151"/>
      <c r="B691" s="1"/>
      <c r="C691" s="1"/>
      <c r="D691" s="66"/>
      <c r="E691" s="66"/>
      <c r="F691" s="2"/>
      <c r="G691" s="2"/>
      <c r="H691" s="2"/>
      <c r="I691" s="2"/>
    </row>
    <row r="692" spans="1:9">
      <c r="A692" s="151"/>
      <c r="B692" s="1"/>
      <c r="C692" s="1"/>
      <c r="D692" s="66"/>
      <c r="E692" s="66"/>
      <c r="F692" s="2"/>
      <c r="G692" s="2"/>
      <c r="H692" s="2"/>
      <c r="I692" s="2"/>
    </row>
    <row r="693" spans="1:9">
      <c r="A693" s="151"/>
      <c r="B693" s="1"/>
      <c r="C693" s="1"/>
      <c r="D693" s="66"/>
      <c r="E693" s="66"/>
      <c r="F693" s="2"/>
      <c r="G693" s="2"/>
      <c r="H693" s="2"/>
      <c r="I693" s="2"/>
    </row>
    <row r="694" spans="1:9">
      <c r="A694" s="151"/>
      <c r="B694" s="1"/>
      <c r="C694" s="1"/>
      <c r="D694" s="66"/>
      <c r="E694" s="66"/>
      <c r="F694" s="2"/>
      <c r="G694" s="2"/>
      <c r="H694" s="2"/>
      <c r="I694" s="2"/>
    </row>
    <row r="695" spans="1:9">
      <c r="A695" s="151"/>
      <c r="B695" s="1"/>
      <c r="C695" s="1"/>
      <c r="D695" s="66"/>
      <c r="E695" s="66"/>
      <c r="F695" s="2"/>
      <c r="G695" s="2"/>
      <c r="H695" s="2"/>
      <c r="I695" s="2"/>
    </row>
    <row r="696" spans="1:9">
      <c r="A696" s="151"/>
      <c r="B696" s="1"/>
      <c r="C696" s="1"/>
      <c r="D696" s="66"/>
      <c r="E696" s="66"/>
      <c r="F696" s="2"/>
      <c r="G696" s="2"/>
      <c r="H696" s="2"/>
      <c r="I696" s="2"/>
    </row>
    <row r="697" spans="1:9">
      <c r="A697" s="151"/>
      <c r="B697" s="1"/>
      <c r="C697" s="1"/>
      <c r="D697" s="66"/>
      <c r="E697" s="66"/>
      <c r="F697" s="2"/>
      <c r="G697" s="2"/>
      <c r="H697" s="2"/>
      <c r="I697" s="2"/>
    </row>
    <row r="698" spans="1:9">
      <c r="A698" s="151"/>
      <c r="B698" s="1"/>
      <c r="C698" s="1"/>
      <c r="D698" s="66"/>
      <c r="E698" s="66"/>
      <c r="F698" s="2"/>
      <c r="G698" s="2"/>
      <c r="H698" s="2"/>
      <c r="I698" s="2"/>
    </row>
    <row r="699" spans="1:9">
      <c r="A699" s="151"/>
      <c r="B699" s="1"/>
      <c r="C699" s="1"/>
      <c r="D699" s="66"/>
      <c r="E699" s="66"/>
      <c r="F699" s="2"/>
      <c r="G699" s="2"/>
      <c r="H699" s="2"/>
      <c r="I699" s="2"/>
    </row>
    <row r="700" spans="1:9">
      <c r="A700" s="151"/>
      <c r="B700" s="1"/>
      <c r="C700" s="1"/>
      <c r="D700" s="66"/>
      <c r="E700" s="66"/>
      <c r="F700" s="2"/>
      <c r="G700" s="2"/>
      <c r="H700" s="2"/>
      <c r="I700" s="2"/>
    </row>
    <row r="701" spans="1:9">
      <c r="A701" s="151"/>
      <c r="B701" s="1"/>
      <c r="C701" s="1"/>
      <c r="D701" s="66"/>
      <c r="E701" s="66"/>
      <c r="F701" s="2"/>
      <c r="G701" s="2"/>
      <c r="H701" s="2"/>
      <c r="I701" s="2"/>
    </row>
    <row r="702" spans="1:9">
      <c r="A702" s="151"/>
      <c r="B702" s="1"/>
      <c r="C702" s="1"/>
      <c r="D702" s="66"/>
      <c r="E702" s="66"/>
      <c r="F702" s="2"/>
      <c r="G702" s="2"/>
      <c r="H702" s="2"/>
      <c r="I702" s="2"/>
    </row>
    <row r="703" spans="1:9">
      <c r="A703" s="151"/>
      <c r="B703" s="1"/>
      <c r="C703" s="1"/>
      <c r="D703" s="66"/>
      <c r="E703" s="66"/>
      <c r="F703" s="2"/>
      <c r="G703" s="2"/>
      <c r="H703" s="2"/>
      <c r="I703" s="2"/>
    </row>
    <row r="704" spans="1:9">
      <c r="A704" s="151"/>
      <c r="B704" s="1"/>
      <c r="C704" s="1"/>
      <c r="D704" s="66"/>
      <c r="E704" s="66"/>
      <c r="F704" s="2"/>
      <c r="G704" s="2"/>
      <c r="H704" s="2"/>
      <c r="I704" s="2"/>
    </row>
    <row r="705" spans="1:9">
      <c r="A705" s="151"/>
      <c r="B705" s="1"/>
      <c r="C705" s="1"/>
      <c r="D705" s="66"/>
      <c r="E705" s="66"/>
      <c r="F705" s="2"/>
      <c r="G705" s="2"/>
      <c r="H705" s="2"/>
      <c r="I705" s="2"/>
    </row>
    <row r="706" spans="1:9">
      <c r="A706" s="151"/>
      <c r="B706" s="1"/>
      <c r="C706" s="1"/>
      <c r="D706" s="66"/>
      <c r="E706" s="66"/>
      <c r="F706" s="2"/>
      <c r="G706" s="2"/>
      <c r="H706" s="2"/>
      <c r="I706" s="2"/>
    </row>
    <row r="707" spans="1:9">
      <c r="A707" s="151"/>
      <c r="B707" s="1"/>
      <c r="C707" s="1"/>
      <c r="D707" s="66"/>
      <c r="E707" s="66"/>
      <c r="F707" s="2"/>
      <c r="G707" s="2"/>
      <c r="H707" s="2"/>
      <c r="I707" s="2"/>
    </row>
    <row r="708" spans="1:9">
      <c r="A708" s="151"/>
      <c r="B708" s="1"/>
      <c r="C708" s="1"/>
      <c r="D708" s="66"/>
      <c r="E708" s="66"/>
      <c r="F708" s="2"/>
      <c r="G708" s="2"/>
      <c r="H708" s="2"/>
      <c r="I708" s="2"/>
    </row>
    <row r="709" spans="1:9">
      <c r="A709" s="151"/>
      <c r="B709" s="1"/>
      <c r="C709" s="1"/>
      <c r="D709" s="66"/>
      <c r="E709" s="66"/>
      <c r="F709" s="2"/>
      <c r="G709" s="2"/>
      <c r="H709" s="2"/>
      <c r="I709" s="2"/>
    </row>
    <row r="710" spans="1:9">
      <c r="A710" s="151"/>
      <c r="B710" s="1"/>
      <c r="C710" s="1"/>
      <c r="D710" s="66"/>
      <c r="E710" s="66"/>
      <c r="F710" s="2"/>
      <c r="G710" s="2"/>
      <c r="H710" s="2"/>
      <c r="I710" s="2"/>
    </row>
    <row r="711" spans="1:9">
      <c r="A711" s="151"/>
      <c r="B711" s="1"/>
      <c r="C711" s="1"/>
      <c r="D711" s="66"/>
      <c r="E711" s="66"/>
      <c r="F711" s="2"/>
      <c r="G711" s="2"/>
      <c r="H711" s="2"/>
      <c r="I711" s="2"/>
    </row>
    <row r="712" spans="1:9">
      <c r="A712" s="151"/>
      <c r="B712" s="1"/>
      <c r="C712" s="1"/>
      <c r="D712" s="66"/>
      <c r="E712" s="66"/>
      <c r="F712" s="2"/>
      <c r="G712" s="2"/>
      <c r="H712" s="2"/>
      <c r="I712" s="2"/>
    </row>
    <row r="713" spans="1:9">
      <c r="A713" s="151"/>
      <c r="B713" s="1"/>
      <c r="C713" s="1"/>
      <c r="D713" s="66"/>
      <c r="E713" s="66"/>
      <c r="F713" s="2"/>
      <c r="G713" s="2"/>
      <c r="H713" s="2"/>
      <c r="I713" s="2"/>
    </row>
    <row r="714" spans="1:9">
      <c r="A714" s="151"/>
      <c r="B714" s="1"/>
      <c r="C714" s="1"/>
      <c r="D714" s="66"/>
      <c r="E714" s="66"/>
      <c r="F714" s="2"/>
      <c r="G714" s="2"/>
      <c r="H714" s="2"/>
      <c r="I714" s="2"/>
    </row>
    <row r="715" spans="1:9">
      <c r="A715" s="151"/>
      <c r="B715" s="1"/>
      <c r="C715" s="1"/>
      <c r="D715" s="66"/>
      <c r="E715" s="66"/>
      <c r="F715" s="2"/>
      <c r="G715" s="2"/>
      <c r="H715" s="2"/>
      <c r="I715" s="2"/>
    </row>
    <row r="716" spans="1:9">
      <c r="A716" s="151"/>
      <c r="B716" s="1"/>
      <c r="C716" s="1"/>
      <c r="D716" s="66"/>
      <c r="E716" s="66"/>
      <c r="F716" s="2"/>
      <c r="G716" s="2"/>
      <c r="H716" s="2"/>
      <c r="I716" s="2"/>
    </row>
    <row r="717" spans="1:9">
      <c r="A717" s="151"/>
      <c r="B717" s="1"/>
      <c r="C717" s="1"/>
      <c r="D717" s="66"/>
      <c r="E717" s="66"/>
      <c r="F717" s="2"/>
      <c r="G717" s="2"/>
      <c r="H717" s="2"/>
      <c r="I717" s="2"/>
    </row>
    <row r="718" spans="1:9">
      <c r="A718" s="151"/>
      <c r="B718" s="1"/>
      <c r="C718" s="1"/>
      <c r="D718" s="66"/>
      <c r="E718" s="66"/>
      <c r="F718" s="2"/>
      <c r="G718" s="2"/>
      <c r="H718" s="2"/>
      <c r="I718" s="2"/>
    </row>
    <row r="719" spans="1:9">
      <c r="A719" s="151"/>
      <c r="B719" s="1"/>
      <c r="C719" s="1"/>
      <c r="D719" s="66"/>
      <c r="E719" s="66"/>
      <c r="F719" s="2"/>
      <c r="G719" s="2"/>
      <c r="H719" s="2"/>
      <c r="I719" s="2"/>
    </row>
    <row r="720" spans="1:9">
      <c r="A720" s="151"/>
      <c r="B720" s="1"/>
      <c r="C720" s="1"/>
      <c r="D720" s="66"/>
      <c r="E720" s="66"/>
      <c r="F720" s="2"/>
      <c r="G720" s="2"/>
      <c r="H720" s="2"/>
      <c r="I720" s="2"/>
    </row>
    <row r="721" spans="1:9">
      <c r="A721" s="151"/>
      <c r="B721" s="1"/>
      <c r="C721" s="1"/>
      <c r="D721" s="66"/>
      <c r="E721" s="66"/>
      <c r="F721" s="2"/>
      <c r="G721" s="2"/>
      <c r="H721" s="2"/>
      <c r="I721" s="2"/>
    </row>
    <row r="722" spans="1:9">
      <c r="A722" s="151"/>
      <c r="B722" s="1"/>
      <c r="C722" s="1"/>
      <c r="D722" s="66"/>
      <c r="E722" s="66"/>
      <c r="F722" s="2"/>
      <c r="G722" s="2"/>
      <c r="H722" s="2"/>
      <c r="I722" s="2"/>
    </row>
    <row r="723" spans="1:9">
      <c r="A723" s="151"/>
      <c r="B723" s="1"/>
      <c r="C723" s="1"/>
      <c r="D723" s="66"/>
      <c r="E723" s="66"/>
      <c r="F723" s="2"/>
      <c r="G723" s="2"/>
      <c r="H723" s="2"/>
      <c r="I723" s="2"/>
    </row>
    <row r="724" spans="1:9">
      <c r="A724" s="151"/>
      <c r="B724" s="1"/>
      <c r="C724" s="1"/>
      <c r="D724" s="66"/>
      <c r="E724" s="66"/>
      <c r="F724" s="2"/>
      <c r="G724" s="2"/>
      <c r="H724" s="2"/>
      <c r="I724" s="2"/>
    </row>
    <row r="725" spans="1:9">
      <c r="A725" s="151"/>
      <c r="B725" s="1"/>
      <c r="C725" s="1"/>
      <c r="D725" s="66"/>
      <c r="E725" s="66"/>
      <c r="F725" s="2"/>
      <c r="G725" s="2"/>
      <c r="H725" s="2"/>
      <c r="I725" s="2"/>
    </row>
    <row r="726" spans="1:9">
      <c r="A726" s="151"/>
      <c r="B726" s="1"/>
      <c r="C726" s="1"/>
      <c r="D726" s="66"/>
      <c r="E726" s="66"/>
      <c r="F726" s="2"/>
      <c r="G726" s="2"/>
      <c r="H726" s="2"/>
      <c r="I726" s="2"/>
    </row>
    <row r="727" spans="1:9">
      <c r="A727" s="151"/>
      <c r="B727" s="1"/>
      <c r="C727" s="1"/>
      <c r="D727" s="66"/>
      <c r="E727" s="66"/>
      <c r="F727" s="2"/>
      <c r="G727" s="2"/>
      <c r="H727" s="2"/>
      <c r="I727" s="2"/>
    </row>
    <row r="728" spans="1:9">
      <c r="A728" s="151"/>
      <c r="B728" s="1"/>
      <c r="C728" s="1"/>
      <c r="D728" s="66"/>
      <c r="E728" s="66"/>
      <c r="F728" s="2"/>
      <c r="G728" s="2"/>
      <c r="H728" s="2"/>
      <c r="I728" s="2"/>
    </row>
    <row r="729" spans="1:9">
      <c r="A729" s="151"/>
      <c r="B729" s="1"/>
      <c r="C729" s="1"/>
      <c r="D729" s="66"/>
      <c r="E729" s="66"/>
      <c r="F729" s="2"/>
      <c r="G729" s="2"/>
      <c r="H729" s="2"/>
      <c r="I729" s="2"/>
    </row>
    <row r="730" spans="1:9">
      <c r="A730" s="151"/>
      <c r="B730" s="1"/>
      <c r="C730" s="1"/>
      <c r="D730" s="66"/>
      <c r="E730" s="66"/>
      <c r="F730" s="2"/>
      <c r="G730" s="2"/>
      <c r="H730" s="2"/>
      <c r="I730" s="2"/>
    </row>
    <row r="731" spans="1:9">
      <c r="A731" s="151"/>
      <c r="B731" s="1"/>
      <c r="C731" s="1"/>
      <c r="D731" s="66"/>
      <c r="E731" s="66"/>
      <c r="F731" s="2"/>
      <c r="G731" s="2"/>
      <c r="H731" s="2"/>
      <c r="I731" s="2"/>
    </row>
    <row r="732" spans="1:9">
      <c r="A732" s="151"/>
      <c r="B732" s="1"/>
      <c r="C732" s="1"/>
      <c r="D732" s="66"/>
      <c r="E732" s="66"/>
      <c r="F732" s="2"/>
      <c r="G732" s="2"/>
      <c r="H732" s="2"/>
      <c r="I732" s="2"/>
    </row>
    <row r="733" spans="1:9">
      <c r="A733" s="151"/>
      <c r="B733" s="1"/>
      <c r="C733" s="1"/>
      <c r="D733" s="66"/>
      <c r="E733" s="66"/>
      <c r="F733" s="2"/>
      <c r="G733" s="2"/>
      <c r="H733" s="2"/>
      <c r="I733" s="2"/>
    </row>
    <row r="734" spans="1:9">
      <c r="A734" s="151"/>
      <c r="B734" s="1"/>
      <c r="C734" s="1"/>
      <c r="D734" s="66"/>
      <c r="E734" s="66"/>
      <c r="F734" s="2"/>
      <c r="G734" s="2"/>
      <c r="H734" s="2"/>
      <c r="I734" s="2"/>
    </row>
    <row r="735" spans="1:9">
      <c r="A735" s="151"/>
      <c r="B735" s="1"/>
      <c r="C735" s="1"/>
      <c r="D735" s="66"/>
      <c r="E735" s="66"/>
      <c r="F735" s="2"/>
      <c r="G735" s="2"/>
      <c r="H735" s="2"/>
      <c r="I735" s="2"/>
    </row>
    <row r="736" spans="1:9">
      <c r="A736" s="151"/>
      <c r="B736" s="1"/>
      <c r="C736" s="1"/>
      <c r="D736" s="66"/>
      <c r="E736" s="66"/>
      <c r="F736" s="2"/>
      <c r="G736" s="2"/>
      <c r="H736" s="2"/>
      <c r="I736" s="2"/>
    </row>
    <row r="737" spans="1:9">
      <c r="A737" s="151"/>
      <c r="B737" s="1"/>
      <c r="C737" s="1"/>
      <c r="D737" s="66"/>
      <c r="E737" s="66"/>
      <c r="F737" s="2"/>
      <c r="G737" s="2"/>
      <c r="H737" s="2"/>
      <c r="I737" s="2"/>
    </row>
    <row r="738" spans="1:9">
      <c r="A738" s="151"/>
      <c r="B738" s="1"/>
      <c r="C738" s="1"/>
      <c r="D738" s="66"/>
      <c r="E738" s="66"/>
      <c r="F738" s="2"/>
      <c r="G738" s="2"/>
      <c r="H738" s="2"/>
      <c r="I738" s="2"/>
    </row>
    <row r="739" spans="1:9">
      <c r="A739" s="151"/>
      <c r="B739" s="1"/>
      <c r="C739" s="1"/>
      <c r="D739" s="66"/>
      <c r="E739" s="66"/>
      <c r="F739" s="2"/>
      <c r="G739" s="2"/>
      <c r="H739" s="2"/>
      <c r="I739" s="2"/>
    </row>
    <row r="740" spans="1:9">
      <c r="A740" s="151"/>
      <c r="B740" s="1"/>
      <c r="C740" s="1"/>
      <c r="D740" s="66"/>
      <c r="E740" s="66"/>
      <c r="F740" s="2"/>
      <c r="G740" s="2"/>
      <c r="H740" s="2"/>
      <c r="I740" s="2"/>
    </row>
    <row r="741" spans="1:9">
      <c r="A741" s="151"/>
      <c r="B741" s="1"/>
      <c r="C741" s="1"/>
      <c r="D741" s="66"/>
      <c r="E741" s="66"/>
      <c r="F741" s="2"/>
      <c r="G741" s="2"/>
      <c r="H741" s="2"/>
      <c r="I741" s="2"/>
    </row>
    <row r="742" spans="1:9">
      <c r="A742" s="151"/>
      <c r="B742" s="1"/>
      <c r="C742" s="1"/>
      <c r="D742" s="66"/>
      <c r="E742" s="66"/>
      <c r="F742" s="2"/>
      <c r="G742" s="2"/>
      <c r="H742" s="2"/>
      <c r="I742" s="2"/>
    </row>
    <row r="743" spans="1:9">
      <c r="A743" s="151"/>
      <c r="B743" s="1"/>
      <c r="C743" s="1"/>
      <c r="D743" s="66"/>
      <c r="E743" s="66"/>
      <c r="F743" s="2"/>
      <c r="G743" s="2"/>
      <c r="H743" s="2"/>
      <c r="I743" s="2"/>
    </row>
    <row r="744" spans="1:9">
      <c r="A744" s="151"/>
      <c r="B744" s="1"/>
      <c r="C744" s="1"/>
      <c r="D744" s="66"/>
      <c r="E744" s="66"/>
      <c r="F744" s="2"/>
      <c r="G744" s="2"/>
      <c r="H744" s="2"/>
      <c r="I744" s="2"/>
    </row>
    <row r="745" spans="1:9">
      <c r="A745" s="151"/>
      <c r="B745" s="1"/>
      <c r="C745" s="1"/>
      <c r="D745" s="66"/>
      <c r="E745" s="66"/>
      <c r="F745" s="2"/>
      <c r="G745" s="2"/>
      <c r="H745" s="2"/>
      <c r="I745" s="2"/>
    </row>
    <row r="746" spans="1:9">
      <c r="A746" s="151"/>
      <c r="B746" s="1"/>
      <c r="C746" s="1"/>
      <c r="D746" s="66"/>
      <c r="E746" s="66"/>
      <c r="F746" s="2"/>
      <c r="G746" s="2"/>
      <c r="H746" s="2"/>
      <c r="I746" s="2"/>
    </row>
    <row r="747" spans="1:9">
      <c r="A747" s="151"/>
      <c r="B747" s="1"/>
      <c r="C747" s="1"/>
      <c r="D747" s="66"/>
      <c r="E747" s="66"/>
      <c r="F747" s="2"/>
      <c r="G747" s="2"/>
      <c r="H747" s="2"/>
      <c r="I747" s="2"/>
    </row>
    <row r="748" spans="1:9">
      <c r="A748" s="151"/>
      <c r="B748" s="1"/>
      <c r="C748" s="1"/>
      <c r="D748" s="66"/>
      <c r="E748" s="66"/>
      <c r="F748" s="2"/>
      <c r="G748" s="2"/>
      <c r="H748" s="2"/>
      <c r="I748" s="2"/>
    </row>
    <row r="749" spans="1:9">
      <c r="A749" s="151"/>
      <c r="B749" s="1"/>
      <c r="C749" s="1"/>
      <c r="D749" s="66"/>
      <c r="E749" s="66"/>
      <c r="F749" s="2"/>
      <c r="G749" s="2"/>
      <c r="H749" s="2"/>
      <c r="I749" s="2"/>
    </row>
    <row r="750" spans="1:9">
      <c r="A750" s="151"/>
      <c r="B750" s="1"/>
      <c r="C750" s="1"/>
      <c r="D750" s="66"/>
      <c r="E750" s="66"/>
      <c r="F750" s="2"/>
      <c r="G750" s="2"/>
      <c r="H750" s="2"/>
      <c r="I750" s="2"/>
    </row>
    <row r="751" spans="1:9">
      <c r="A751" s="151"/>
      <c r="B751" s="1"/>
      <c r="C751" s="1"/>
      <c r="D751" s="66"/>
      <c r="E751" s="66"/>
      <c r="F751" s="2"/>
      <c r="G751" s="2"/>
      <c r="H751" s="2"/>
      <c r="I751" s="2"/>
    </row>
    <row r="752" spans="1:9">
      <c r="A752" s="151"/>
      <c r="B752" s="1"/>
      <c r="C752" s="1"/>
      <c r="D752" s="66"/>
      <c r="E752" s="66"/>
      <c r="F752" s="2"/>
      <c r="G752" s="2"/>
      <c r="H752" s="2"/>
      <c r="I752" s="2"/>
    </row>
    <row r="753" spans="1:9">
      <c r="A753" s="151"/>
      <c r="B753" s="1"/>
      <c r="C753" s="1"/>
      <c r="D753" s="66"/>
      <c r="E753" s="66"/>
      <c r="F753" s="2"/>
      <c r="G753" s="2"/>
      <c r="H753" s="2"/>
      <c r="I753" s="2"/>
    </row>
    <row r="754" spans="1:9">
      <c r="A754" s="151"/>
      <c r="B754" s="1"/>
      <c r="C754" s="1"/>
      <c r="D754" s="66"/>
      <c r="E754" s="66"/>
      <c r="F754" s="2"/>
      <c r="G754" s="2"/>
      <c r="H754" s="2"/>
      <c r="I754" s="2"/>
    </row>
    <row r="755" spans="1:9">
      <c r="A755" s="151"/>
      <c r="B755" s="1"/>
      <c r="C755" s="1"/>
      <c r="D755" s="66"/>
      <c r="E755" s="66"/>
      <c r="F755" s="2"/>
      <c r="G755" s="2"/>
      <c r="H755" s="2"/>
      <c r="I755" s="2"/>
    </row>
    <row r="756" spans="1:9">
      <c r="A756" s="151"/>
      <c r="B756" s="1"/>
      <c r="C756" s="1"/>
      <c r="D756" s="66"/>
      <c r="E756" s="66"/>
      <c r="F756" s="2"/>
      <c r="G756" s="2"/>
      <c r="H756" s="2"/>
      <c r="I756" s="2"/>
    </row>
    <row r="757" spans="1:9">
      <c r="A757" s="151"/>
      <c r="B757" s="1"/>
      <c r="C757" s="1"/>
      <c r="D757" s="66"/>
      <c r="E757" s="66"/>
      <c r="F757" s="2"/>
      <c r="G757" s="2"/>
      <c r="H757" s="2"/>
      <c r="I757" s="2"/>
    </row>
    <row r="758" spans="1:9">
      <c r="A758" s="151"/>
      <c r="B758" s="1"/>
      <c r="C758" s="1"/>
      <c r="D758" s="66"/>
      <c r="E758" s="66"/>
      <c r="F758" s="2"/>
      <c r="G758" s="2"/>
      <c r="H758" s="2"/>
      <c r="I758" s="2"/>
    </row>
    <row r="759" spans="1:9">
      <c r="A759" s="151"/>
      <c r="B759" s="1"/>
      <c r="C759" s="1"/>
      <c r="D759" s="66"/>
      <c r="E759" s="66"/>
      <c r="F759" s="2"/>
      <c r="G759" s="2"/>
      <c r="H759" s="2"/>
      <c r="I759" s="2"/>
    </row>
    <row r="760" spans="1:9">
      <c r="A760" s="151"/>
      <c r="B760" s="1"/>
      <c r="C760" s="1"/>
      <c r="D760" s="66"/>
      <c r="E760" s="66"/>
      <c r="F760" s="2"/>
      <c r="G760" s="2"/>
      <c r="H760" s="2"/>
      <c r="I760" s="2"/>
    </row>
    <row r="761" spans="1:9">
      <c r="A761" s="151"/>
      <c r="B761" s="1"/>
      <c r="C761" s="1"/>
      <c r="D761" s="66"/>
      <c r="E761" s="66"/>
      <c r="F761" s="2"/>
      <c r="G761" s="2"/>
      <c r="H761" s="2"/>
      <c r="I761" s="2"/>
    </row>
    <row r="762" spans="1:9">
      <c r="A762" s="151"/>
      <c r="B762" s="1"/>
      <c r="C762" s="1"/>
      <c r="D762" s="66"/>
      <c r="E762" s="66"/>
      <c r="F762" s="2"/>
      <c r="G762" s="2"/>
      <c r="H762" s="2"/>
      <c r="I762" s="2"/>
    </row>
    <row r="763" spans="1:9">
      <c r="A763" s="151"/>
      <c r="B763" s="1"/>
      <c r="C763" s="1"/>
      <c r="D763" s="66"/>
      <c r="E763" s="66"/>
      <c r="F763" s="2"/>
      <c r="G763" s="2"/>
      <c r="H763" s="2"/>
      <c r="I763" s="2"/>
    </row>
    <row r="764" spans="1:9">
      <c r="A764" s="151"/>
      <c r="B764" s="1"/>
      <c r="C764" s="1"/>
      <c r="D764" s="66"/>
      <c r="E764" s="66"/>
      <c r="F764" s="2"/>
      <c r="G764" s="2"/>
      <c r="H764" s="2"/>
      <c r="I764" s="2"/>
    </row>
    <row r="765" spans="1:9">
      <c r="A765" s="151"/>
      <c r="B765" s="1"/>
      <c r="C765" s="1"/>
      <c r="D765" s="66"/>
      <c r="E765" s="66"/>
      <c r="F765" s="2"/>
      <c r="G765" s="2"/>
      <c r="H765" s="2"/>
      <c r="I765" s="2"/>
    </row>
    <row r="766" spans="1:9">
      <c r="A766" s="151"/>
      <c r="B766" s="1"/>
      <c r="C766" s="1"/>
      <c r="D766" s="66"/>
      <c r="E766" s="66"/>
      <c r="F766" s="2"/>
      <c r="G766" s="2"/>
      <c r="H766" s="2"/>
      <c r="I766" s="2"/>
    </row>
    <row r="767" spans="1:9">
      <c r="A767" s="151"/>
      <c r="B767" s="1"/>
      <c r="C767" s="1"/>
      <c r="D767" s="66"/>
      <c r="E767" s="66"/>
      <c r="F767" s="2"/>
      <c r="G767" s="2"/>
      <c r="H767" s="2"/>
      <c r="I767" s="2"/>
    </row>
    <row r="768" spans="1:9">
      <c r="A768" s="151"/>
      <c r="B768" s="1"/>
      <c r="C768" s="1"/>
      <c r="D768" s="66"/>
      <c r="E768" s="66"/>
      <c r="F768" s="2"/>
      <c r="G768" s="2"/>
      <c r="H768" s="2"/>
      <c r="I768" s="2"/>
    </row>
    <row r="769" spans="1:9">
      <c r="A769" s="151"/>
      <c r="B769" s="1"/>
      <c r="C769" s="1"/>
      <c r="D769" s="66"/>
      <c r="E769" s="66"/>
      <c r="F769" s="2"/>
      <c r="G769" s="2"/>
      <c r="H769" s="2"/>
      <c r="I769" s="2"/>
    </row>
    <row r="770" spans="1:9">
      <c r="A770" s="151"/>
      <c r="B770" s="1"/>
      <c r="C770" s="1"/>
      <c r="D770" s="66"/>
      <c r="E770" s="66"/>
      <c r="F770" s="2"/>
      <c r="G770" s="2"/>
      <c r="H770" s="2"/>
      <c r="I770" s="2"/>
    </row>
    <row r="771" spans="1:9">
      <c r="A771" s="151"/>
      <c r="B771" s="1"/>
      <c r="C771" s="1"/>
      <c r="D771" s="66"/>
      <c r="E771" s="66"/>
      <c r="F771" s="2"/>
      <c r="G771" s="2"/>
      <c r="H771" s="2"/>
      <c r="I771" s="2"/>
    </row>
    <row r="772" spans="1:9">
      <c r="A772" s="151"/>
      <c r="B772" s="1"/>
      <c r="C772" s="1"/>
      <c r="D772" s="66"/>
      <c r="E772" s="66"/>
      <c r="F772" s="2"/>
      <c r="G772" s="2"/>
      <c r="H772" s="2"/>
      <c r="I772" s="2"/>
    </row>
    <row r="773" spans="1:9">
      <c r="A773" s="151"/>
      <c r="B773" s="1"/>
      <c r="C773" s="1"/>
      <c r="D773" s="66"/>
      <c r="E773" s="66"/>
      <c r="F773" s="2"/>
      <c r="G773" s="2"/>
      <c r="H773" s="2"/>
      <c r="I773" s="2"/>
    </row>
    <row r="774" spans="1:9">
      <c r="A774" s="151"/>
      <c r="B774" s="1"/>
      <c r="C774" s="1"/>
      <c r="D774" s="66"/>
      <c r="E774" s="66"/>
      <c r="F774" s="2"/>
      <c r="G774" s="2"/>
      <c r="H774" s="2"/>
      <c r="I774" s="2"/>
    </row>
    <row r="775" spans="1:9">
      <c r="A775" s="151"/>
      <c r="B775" s="1"/>
      <c r="C775" s="1"/>
      <c r="D775" s="66"/>
      <c r="E775" s="66"/>
      <c r="F775" s="2"/>
      <c r="G775" s="2"/>
      <c r="H775" s="2"/>
      <c r="I775" s="2"/>
    </row>
    <row r="776" spans="1:9">
      <c r="A776" s="151"/>
      <c r="B776" s="1"/>
      <c r="C776" s="1"/>
      <c r="D776" s="66"/>
      <c r="E776" s="66"/>
      <c r="F776" s="2"/>
      <c r="G776" s="2"/>
      <c r="H776" s="2"/>
      <c r="I776" s="2"/>
    </row>
    <row r="777" spans="1:9">
      <c r="A777" s="151"/>
      <c r="B777" s="1"/>
      <c r="C777" s="1"/>
      <c r="D777" s="66"/>
      <c r="E777" s="66"/>
      <c r="F777" s="2"/>
      <c r="G777" s="2"/>
      <c r="H777" s="2"/>
      <c r="I777" s="2"/>
    </row>
    <row r="778" spans="1:9">
      <c r="A778" s="151"/>
      <c r="B778" s="1"/>
      <c r="C778" s="1"/>
      <c r="D778" s="66"/>
      <c r="E778" s="66"/>
      <c r="F778" s="2"/>
      <c r="G778" s="2"/>
      <c r="H778" s="2"/>
      <c r="I778" s="2"/>
    </row>
    <row r="779" spans="1:9">
      <c r="A779" s="151"/>
      <c r="B779" s="1"/>
      <c r="C779" s="1"/>
      <c r="D779" s="66"/>
      <c r="E779" s="66"/>
      <c r="F779" s="2"/>
      <c r="G779" s="2"/>
      <c r="H779" s="2"/>
      <c r="I779" s="2"/>
    </row>
    <row r="780" spans="1:9">
      <c r="A780" s="151"/>
      <c r="B780" s="1"/>
      <c r="C780" s="1"/>
      <c r="D780" s="66"/>
      <c r="E780" s="66"/>
      <c r="F780" s="2"/>
      <c r="G780" s="2"/>
      <c r="H780" s="2"/>
      <c r="I780" s="2"/>
    </row>
    <row r="781" spans="1:9">
      <c r="A781" s="151"/>
      <c r="B781" s="1"/>
      <c r="C781" s="1"/>
      <c r="D781" s="66"/>
      <c r="E781" s="66"/>
      <c r="F781" s="2"/>
      <c r="G781" s="2"/>
      <c r="H781" s="2"/>
      <c r="I781" s="2"/>
    </row>
    <row r="782" spans="1:9">
      <c r="A782" s="151"/>
      <c r="B782" s="1"/>
      <c r="C782" s="1"/>
      <c r="D782" s="66"/>
      <c r="E782" s="66"/>
      <c r="F782" s="2"/>
      <c r="G782" s="2"/>
      <c r="H782" s="2"/>
      <c r="I782" s="2"/>
    </row>
    <row r="783" spans="1:9">
      <c r="A783" s="151"/>
      <c r="B783" s="1"/>
      <c r="C783" s="1"/>
      <c r="D783" s="66"/>
      <c r="E783" s="66"/>
      <c r="F783" s="2"/>
      <c r="G783" s="2"/>
      <c r="H783" s="2"/>
      <c r="I783" s="2"/>
    </row>
    <row r="784" spans="1:9">
      <c r="A784" s="151"/>
      <c r="B784" s="1"/>
      <c r="C784" s="1"/>
      <c r="D784" s="66"/>
      <c r="E784" s="66"/>
      <c r="F784" s="2"/>
      <c r="G784" s="2"/>
      <c r="H784" s="2"/>
      <c r="I784" s="2"/>
    </row>
    <row r="785" spans="1:9">
      <c r="A785" s="151"/>
      <c r="B785" s="1"/>
      <c r="C785" s="1"/>
      <c r="D785" s="66"/>
      <c r="E785" s="66"/>
      <c r="F785" s="2"/>
      <c r="G785" s="2"/>
      <c r="H785" s="2"/>
      <c r="I785" s="2"/>
    </row>
    <row r="786" spans="1:9">
      <c r="A786" s="151"/>
      <c r="B786" s="1"/>
      <c r="C786" s="1"/>
      <c r="D786" s="66"/>
      <c r="E786" s="66"/>
      <c r="F786" s="2"/>
      <c r="G786" s="2"/>
      <c r="H786" s="2"/>
      <c r="I786" s="2"/>
    </row>
    <row r="787" spans="1:9">
      <c r="A787" s="151"/>
      <c r="B787" s="1"/>
      <c r="C787" s="1"/>
      <c r="D787" s="66"/>
      <c r="E787" s="66"/>
      <c r="F787" s="2"/>
      <c r="G787" s="2"/>
      <c r="H787" s="2"/>
      <c r="I787" s="2"/>
    </row>
    <row r="788" spans="1:9">
      <c r="A788" s="151"/>
      <c r="B788" s="1"/>
      <c r="C788" s="1"/>
      <c r="D788" s="66"/>
      <c r="E788" s="66"/>
      <c r="F788" s="2"/>
      <c r="G788" s="2"/>
      <c r="H788" s="2"/>
      <c r="I788" s="2"/>
    </row>
    <row r="789" spans="1:9">
      <c r="A789" s="151"/>
      <c r="B789" s="1"/>
      <c r="C789" s="1"/>
      <c r="D789" s="66"/>
      <c r="E789" s="66"/>
      <c r="F789" s="2"/>
      <c r="G789" s="2"/>
      <c r="H789" s="2"/>
      <c r="I789" s="2"/>
    </row>
    <row r="790" spans="1:9">
      <c r="A790" s="151"/>
      <c r="B790" s="1"/>
      <c r="C790" s="1"/>
      <c r="D790" s="66"/>
      <c r="E790" s="66"/>
      <c r="F790" s="2"/>
      <c r="G790" s="2"/>
      <c r="H790" s="2"/>
      <c r="I790" s="2"/>
    </row>
    <row r="791" spans="1:9">
      <c r="A791" s="151"/>
      <c r="B791" s="1"/>
      <c r="C791" s="1"/>
      <c r="D791" s="66"/>
      <c r="E791" s="66"/>
      <c r="F791" s="2"/>
      <c r="G791" s="2"/>
      <c r="H791" s="2"/>
      <c r="I791" s="2"/>
    </row>
    <row r="792" spans="1:9">
      <c r="A792" s="151"/>
      <c r="B792" s="1"/>
      <c r="C792" s="1"/>
      <c r="D792" s="66"/>
      <c r="E792" s="66"/>
      <c r="F792" s="2"/>
      <c r="G792" s="2"/>
      <c r="H792" s="2"/>
      <c r="I792" s="2"/>
    </row>
    <row r="793" spans="1:9">
      <c r="A793" s="151"/>
      <c r="B793" s="1"/>
      <c r="C793" s="1"/>
      <c r="D793" s="66"/>
      <c r="E793" s="66"/>
      <c r="F793" s="2"/>
      <c r="G793" s="2"/>
      <c r="H793" s="2"/>
      <c r="I793" s="2"/>
    </row>
    <row r="794" spans="1:9">
      <c r="A794" s="151"/>
      <c r="B794" s="1"/>
      <c r="C794" s="1"/>
      <c r="D794" s="66"/>
      <c r="E794" s="66"/>
      <c r="F794" s="2"/>
      <c r="G794" s="2"/>
      <c r="H794" s="2"/>
      <c r="I794" s="2"/>
    </row>
    <row r="795" spans="1:9">
      <c r="A795" s="151"/>
      <c r="B795" s="1"/>
      <c r="C795" s="1"/>
      <c r="D795" s="66"/>
      <c r="E795" s="66"/>
      <c r="F795" s="2"/>
      <c r="G795" s="2"/>
      <c r="H795" s="2"/>
      <c r="I795" s="2"/>
    </row>
    <row r="796" spans="1:9">
      <c r="A796" s="151"/>
      <c r="B796" s="1"/>
      <c r="C796" s="1"/>
      <c r="D796" s="66"/>
      <c r="E796" s="66"/>
      <c r="F796" s="2"/>
      <c r="G796" s="2"/>
      <c r="H796" s="2"/>
      <c r="I796" s="2"/>
    </row>
    <row r="797" spans="1:9">
      <c r="A797" s="151"/>
      <c r="B797" s="1"/>
      <c r="C797" s="1"/>
      <c r="D797" s="66"/>
      <c r="E797" s="66"/>
      <c r="F797" s="2"/>
      <c r="G797" s="2"/>
      <c r="H797" s="2"/>
      <c r="I797" s="2"/>
    </row>
    <row r="798" spans="1:9">
      <c r="A798" s="151"/>
      <c r="B798" s="1"/>
      <c r="C798" s="1"/>
      <c r="D798" s="66"/>
      <c r="E798" s="66"/>
      <c r="F798" s="2"/>
      <c r="G798" s="2"/>
      <c r="H798" s="2"/>
      <c r="I798" s="2"/>
    </row>
    <row r="799" spans="1:9">
      <c r="A799" s="151"/>
      <c r="B799" s="1"/>
      <c r="C799" s="1"/>
      <c r="D799" s="66"/>
      <c r="E799" s="66"/>
      <c r="F799" s="2"/>
      <c r="G799" s="2"/>
      <c r="H799" s="2"/>
      <c r="I799" s="2"/>
    </row>
    <row r="800" spans="1:9">
      <c r="A800" s="151"/>
      <c r="B800" s="1"/>
      <c r="C800" s="1"/>
      <c r="D800" s="66"/>
      <c r="E800" s="66"/>
      <c r="F800" s="2"/>
      <c r="G800" s="2"/>
      <c r="H800" s="2"/>
      <c r="I800" s="2"/>
    </row>
    <row r="801" spans="1:9">
      <c r="A801" s="151"/>
      <c r="B801" s="1"/>
      <c r="C801" s="1"/>
      <c r="D801" s="66"/>
      <c r="E801" s="66"/>
      <c r="F801" s="2"/>
      <c r="G801" s="2"/>
      <c r="H801" s="2"/>
      <c r="I801" s="2"/>
    </row>
    <row r="802" spans="1:9">
      <c r="A802" s="151"/>
      <c r="B802" s="1"/>
      <c r="C802" s="1"/>
      <c r="D802" s="66"/>
      <c r="E802" s="66"/>
      <c r="F802" s="2"/>
      <c r="G802" s="2"/>
      <c r="H802" s="2"/>
      <c r="I802" s="2"/>
    </row>
    <row r="803" spans="1:9">
      <c r="A803" s="151"/>
      <c r="B803" s="1"/>
      <c r="C803" s="1"/>
      <c r="D803" s="66"/>
      <c r="E803" s="66"/>
      <c r="F803" s="2"/>
      <c r="G803" s="2"/>
      <c r="H803" s="2"/>
      <c r="I803" s="2"/>
    </row>
    <row r="804" spans="1:9">
      <c r="A804" s="151"/>
      <c r="B804" s="1"/>
      <c r="C804" s="1"/>
      <c r="D804" s="66"/>
      <c r="E804" s="66"/>
      <c r="F804" s="2"/>
      <c r="G804" s="2"/>
      <c r="H804" s="2"/>
      <c r="I804" s="2"/>
    </row>
    <row r="805" spans="1:9">
      <c r="A805" s="151"/>
      <c r="B805" s="1"/>
      <c r="C805" s="1"/>
      <c r="D805" s="66"/>
      <c r="E805" s="66"/>
      <c r="F805" s="2"/>
      <c r="G805" s="2"/>
      <c r="H805" s="2"/>
      <c r="I805" s="2"/>
    </row>
    <row r="806" spans="1:9">
      <c r="A806" s="151"/>
      <c r="B806" s="1"/>
      <c r="C806" s="1"/>
      <c r="D806" s="66"/>
      <c r="E806" s="66"/>
      <c r="F806" s="2"/>
      <c r="G806" s="2"/>
      <c r="H806" s="2"/>
      <c r="I806" s="2"/>
    </row>
    <row r="807" spans="1:9">
      <c r="A807" s="151"/>
      <c r="B807" s="1"/>
      <c r="C807" s="1"/>
      <c r="D807" s="66"/>
      <c r="E807" s="66"/>
      <c r="F807" s="2"/>
      <c r="G807" s="2"/>
      <c r="H807" s="2"/>
      <c r="I807" s="2"/>
    </row>
    <row r="808" spans="1:9">
      <c r="A808" s="151"/>
      <c r="B808" s="1"/>
      <c r="C808" s="1"/>
      <c r="D808" s="66"/>
      <c r="E808" s="66"/>
      <c r="F808" s="2"/>
      <c r="G808" s="2"/>
      <c r="H808" s="2"/>
      <c r="I808" s="2"/>
    </row>
    <row r="809" spans="1:9">
      <c r="A809" s="151"/>
      <c r="B809" s="1"/>
      <c r="C809" s="1"/>
      <c r="D809" s="66"/>
      <c r="E809" s="66"/>
      <c r="F809" s="2"/>
      <c r="G809" s="2"/>
      <c r="H809" s="2"/>
      <c r="I809" s="2"/>
    </row>
    <row r="810" spans="1:9">
      <c r="A810" s="151"/>
      <c r="B810" s="1"/>
      <c r="C810" s="1"/>
      <c r="D810" s="66"/>
      <c r="E810" s="66"/>
      <c r="F810" s="2"/>
      <c r="G810" s="2"/>
      <c r="H810" s="2"/>
      <c r="I810" s="2"/>
    </row>
    <row r="811" spans="1:9">
      <c r="A811" s="151"/>
      <c r="B811" s="1"/>
      <c r="C811" s="1"/>
      <c r="D811" s="66"/>
      <c r="E811" s="66"/>
      <c r="F811" s="2"/>
      <c r="G811" s="2"/>
      <c r="H811" s="2"/>
      <c r="I811" s="2"/>
    </row>
    <row r="812" spans="1:9">
      <c r="A812" s="151"/>
      <c r="B812" s="1"/>
      <c r="C812" s="1"/>
      <c r="D812" s="66"/>
      <c r="E812" s="66"/>
      <c r="F812" s="2"/>
      <c r="G812" s="2"/>
      <c r="H812" s="2"/>
      <c r="I812" s="2"/>
    </row>
    <row r="813" spans="1:9">
      <c r="A813" s="151"/>
      <c r="B813" s="1"/>
      <c r="C813" s="1"/>
      <c r="D813" s="66"/>
      <c r="E813" s="66"/>
      <c r="F813" s="2"/>
      <c r="G813" s="2"/>
      <c r="H813" s="2"/>
      <c r="I813" s="2"/>
    </row>
    <row r="814" spans="1:9">
      <c r="A814" s="151"/>
      <c r="B814" s="1"/>
      <c r="C814" s="1"/>
      <c r="D814" s="66"/>
      <c r="E814" s="66"/>
      <c r="F814" s="2"/>
      <c r="G814" s="2"/>
      <c r="H814" s="2"/>
      <c r="I814" s="2"/>
    </row>
    <row r="815" spans="1:9">
      <c r="A815" s="151"/>
      <c r="B815" s="1"/>
      <c r="C815" s="1"/>
      <c r="D815" s="66"/>
      <c r="E815" s="66"/>
      <c r="F815" s="2"/>
      <c r="G815" s="2"/>
      <c r="H815" s="2"/>
      <c r="I815" s="2"/>
    </row>
    <row r="816" spans="1:9">
      <c r="A816" s="151"/>
      <c r="B816" s="1"/>
      <c r="C816" s="1"/>
      <c r="D816" s="66"/>
      <c r="E816" s="66"/>
      <c r="F816" s="2"/>
      <c r="G816" s="2"/>
      <c r="H816" s="2"/>
      <c r="I816" s="2"/>
    </row>
    <row r="817" spans="1:9">
      <c r="A817" s="151"/>
      <c r="B817" s="1"/>
      <c r="C817" s="1"/>
      <c r="D817" s="66"/>
      <c r="E817" s="66"/>
      <c r="F817" s="2"/>
      <c r="G817" s="2"/>
      <c r="H817" s="2"/>
      <c r="I817" s="2"/>
    </row>
    <row r="818" spans="1:9">
      <c r="A818" s="151"/>
      <c r="B818" s="1"/>
      <c r="C818" s="1"/>
      <c r="D818" s="66"/>
      <c r="E818" s="66"/>
      <c r="F818" s="2"/>
      <c r="G818" s="2"/>
      <c r="H818" s="2"/>
      <c r="I818" s="2"/>
    </row>
    <row r="819" spans="1:9">
      <c r="A819" s="151"/>
      <c r="B819" s="1"/>
      <c r="C819" s="1"/>
      <c r="D819" s="66"/>
      <c r="E819" s="66"/>
      <c r="F819" s="2"/>
      <c r="G819" s="2"/>
      <c r="H819" s="2"/>
      <c r="I819" s="2"/>
    </row>
    <row r="820" spans="1:9">
      <c r="A820" s="151"/>
      <c r="B820" s="1"/>
      <c r="C820" s="1"/>
      <c r="D820" s="66"/>
      <c r="E820" s="66"/>
      <c r="F820" s="2"/>
      <c r="G820" s="2"/>
      <c r="H820" s="2"/>
      <c r="I820" s="2"/>
    </row>
    <row r="821" spans="1:9">
      <c r="A821" s="151"/>
      <c r="B821" s="1"/>
      <c r="C821" s="1"/>
      <c r="D821" s="66"/>
      <c r="E821" s="66"/>
      <c r="F821" s="2"/>
      <c r="G821" s="2"/>
      <c r="H821" s="2"/>
      <c r="I821" s="2"/>
    </row>
    <row r="822" spans="1:9">
      <c r="A822" s="151"/>
      <c r="B822" s="1"/>
      <c r="C822" s="1"/>
      <c r="D822" s="66"/>
      <c r="E822" s="66"/>
      <c r="F822" s="2"/>
      <c r="G822" s="2"/>
      <c r="H822" s="2"/>
      <c r="I822" s="2"/>
    </row>
    <row r="823" spans="1:9">
      <c r="A823" s="151"/>
      <c r="B823" s="1"/>
      <c r="C823" s="1"/>
      <c r="D823" s="66"/>
      <c r="E823" s="66"/>
      <c r="F823" s="2"/>
      <c r="G823" s="2"/>
      <c r="H823" s="2"/>
      <c r="I823" s="2"/>
    </row>
    <row r="824" spans="1:9">
      <c r="A824" s="151"/>
      <c r="B824" s="1"/>
      <c r="C824" s="1"/>
      <c r="D824" s="66"/>
      <c r="E824" s="66"/>
      <c r="F824" s="2"/>
      <c r="G824" s="2"/>
      <c r="H824" s="2"/>
      <c r="I824" s="2"/>
    </row>
    <row r="825" spans="1:9">
      <c r="A825" s="151"/>
      <c r="B825" s="1"/>
      <c r="C825" s="1"/>
      <c r="D825" s="66"/>
      <c r="E825" s="66"/>
      <c r="F825" s="2"/>
      <c r="G825" s="2"/>
      <c r="H825" s="2"/>
      <c r="I825" s="2"/>
    </row>
    <row r="826" spans="1:9">
      <c r="A826" s="151"/>
      <c r="B826" s="1"/>
      <c r="C826" s="1"/>
      <c r="D826" s="66"/>
      <c r="E826" s="66"/>
      <c r="F826" s="2"/>
      <c r="G826" s="2"/>
      <c r="H826" s="2"/>
      <c r="I826" s="2"/>
    </row>
    <row r="827" spans="1:9">
      <c r="A827" s="151"/>
      <c r="B827" s="1"/>
      <c r="C827" s="1"/>
      <c r="D827" s="66"/>
      <c r="E827" s="66"/>
      <c r="F827" s="2"/>
      <c r="G827" s="2"/>
      <c r="H827" s="2"/>
      <c r="I827" s="2"/>
    </row>
    <row r="828" spans="1:9">
      <c r="A828" s="151"/>
      <c r="B828" s="1"/>
      <c r="C828" s="1"/>
      <c r="D828" s="66"/>
      <c r="E828" s="66"/>
      <c r="F828" s="2"/>
      <c r="G828" s="2"/>
      <c r="H828" s="2"/>
      <c r="I828" s="2"/>
    </row>
    <row r="829" spans="1:9">
      <c r="A829" s="151"/>
      <c r="B829" s="1"/>
      <c r="C829" s="1"/>
      <c r="D829" s="66"/>
      <c r="E829" s="66"/>
      <c r="F829" s="2"/>
      <c r="G829" s="2"/>
      <c r="H829" s="2"/>
      <c r="I829" s="2"/>
    </row>
    <row r="830" spans="1:9">
      <c r="A830" s="151"/>
      <c r="B830" s="1"/>
      <c r="C830" s="1"/>
      <c r="D830" s="66"/>
      <c r="E830" s="66"/>
      <c r="F830" s="2"/>
      <c r="G830" s="2"/>
      <c r="H830" s="2"/>
      <c r="I830" s="2"/>
    </row>
    <row r="831" spans="1:9">
      <c r="A831" s="151"/>
      <c r="B831" s="1"/>
      <c r="C831" s="1"/>
      <c r="D831" s="66"/>
      <c r="E831" s="66"/>
      <c r="F831" s="2"/>
      <c r="G831" s="2"/>
      <c r="H831" s="2"/>
      <c r="I831" s="2"/>
    </row>
    <row r="832" spans="1:9">
      <c r="A832" s="151"/>
      <c r="B832" s="1"/>
      <c r="C832" s="1"/>
      <c r="D832" s="66"/>
      <c r="E832" s="66"/>
      <c r="F832" s="2"/>
      <c r="G832" s="2"/>
      <c r="H832" s="2"/>
      <c r="I832" s="2"/>
    </row>
    <row r="833" spans="1:9">
      <c r="A833" s="151"/>
      <c r="B833" s="1"/>
      <c r="C833" s="1"/>
      <c r="D833" s="66"/>
      <c r="E833" s="66"/>
      <c r="F833" s="2"/>
      <c r="G833" s="2"/>
      <c r="H833" s="2"/>
      <c r="I833" s="2"/>
    </row>
    <row r="834" spans="1:9">
      <c r="A834" s="151"/>
      <c r="B834" s="1"/>
      <c r="C834" s="1"/>
      <c r="D834" s="66"/>
      <c r="E834" s="66"/>
      <c r="F834" s="2"/>
      <c r="G834" s="2"/>
      <c r="H834" s="2"/>
      <c r="I834" s="2"/>
    </row>
    <row r="835" spans="1:9">
      <c r="A835" s="151"/>
      <c r="B835" s="1"/>
      <c r="C835" s="1"/>
      <c r="D835" s="66"/>
      <c r="E835" s="66"/>
      <c r="F835" s="2"/>
      <c r="G835" s="2"/>
      <c r="H835" s="2"/>
      <c r="I835" s="2"/>
    </row>
    <row r="836" spans="1:9">
      <c r="A836" s="151"/>
      <c r="B836" s="1"/>
      <c r="C836" s="1"/>
      <c r="D836" s="66"/>
      <c r="E836" s="66"/>
      <c r="F836" s="2"/>
      <c r="G836" s="2"/>
      <c r="H836" s="2"/>
      <c r="I836" s="2"/>
    </row>
    <row r="837" spans="1:9">
      <c r="A837" s="151"/>
      <c r="B837" s="1"/>
      <c r="C837" s="1"/>
      <c r="D837" s="66"/>
      <c r="E837" s="66"/>
      <c r="F837" s="2"/>
      <c r="G837" s="2"/>
      <c r="H837" s="2"/>
      <c r="I837" s="2"/>
    </row>
    <row r="838" spans="1:9">
      <c r="A838" s="151"/>
      <c r="B838" s="1"/>
      <c r="C838" s="1"/>
      <c r="D838" s="66"/>
      <c r="E838" s="66"/>
      <c r="F838" s="2"/>
      <c r="G838" s="2"/>
      <c r="H838" s="2"/>
      <c r="I838" s="2"/>
    </row>
    <row r="839" spans="1:9">
      <c r="A839" s="151"/>
      <c r="B839" s="1"/>
      <c r="C839" s="1"/>
      <c r="D839" s="66"/>
      <c r="E839" s="66"/>
      <c r="F839" s="2"/>
      <c r="G839" s="2"/>
      <c r="H839" s="2"/>
      <c r="I839" s="2"/>
    </row>
    <row r="840" spans="1:9">
      <c r="A840" s="151"/>
      <c r="B840" s="1"/>
      <c r="C840" s="1"/>
      <c r="D840" s="66"/>
      <c r="E840" s="66"/>
      <c r="F840" s="2"/>
      <c r="G840" s="2"/>
      <c r="H840" s="2"/>
      <c r="I840" s="2"/>
    </row>
    <row r="841" spans="1:9">
      <c r="A841" s="151"/>
      <c r="B841" s="1"/>
      <c r="C841" s="1"/>
      <c r="D841" s="66"/>
      <c r="E841" s="66"/>
      <c r="F841" s="2"/>
      <c r="G841" s="2"/>
      <c r="H841" s="2"/>
      <c r="I841" s="2"/>
    </row>
    <row r="842" spans="1:9">
      <c r="A842" s="151"/>
      <c r="B842" s="1"/>
      <c r="C842" s="1"/>
      <c r="D842" s="66"/>
      <c r="E842" s="66"/>
      <c r="F842" s="2"/>
      <c r="G842" s="2"/>
      <c r="H842" s="2"/>
      <c r="I842" s="2"/>
    </row>
    <row r="843" spans="1:9">
      <c r="A843" s="151"/>
      <c r="B843" s="1"/>
      <c r="C843" s="1"/>
      <c r="D843" s="66"/>
      <c r="E843" s="66"/>
      <c r="F843" s="2"/>
      <c r="G843" s="2"/>
      <c r="H843" s="2"/>
      <c r="I843" s="2"/>
    </row>
    <row r="844" spans="1:9">
      <c r="A844" s="151"/>
      <c r="B844" s="1"/>
      <c r="C844" s="1"/>
      <c r="D844" s="66"/>
      <c r="E844" s="66"/>
      <c r="F844" s="2"/>
      <c r="G844" s="2"/>
      <c r="H844" s="2"/>
      <c r="I844" s="2"/>
    </row>
    <row r="845" spans="1:9">
      <c r="A845" s="151"/>
      <c r="B845" s="1"/>
      <c r="C845" s="1"/>
      <c r="D845" s="66"/>
      <c r="E845" s="66"/>
      <c r="F845" s="2"/>
      <c r="G845" s="2"/>
      <c r="H845" s="2"/>
      <c r="I845" s="2"/>
    </row>
    <row r="846" spans="1:9">
      <c r="A846" s="151"/>
      <c r="B846" s="1"/>
      <c r="C846" s="1"/>
      <c r="D846" s="66"/>
      <c r="E846" s="66"/>
      <c r="F846" s="2"/>
      <c r="G846" s="2"/>
      <c r="H846" s="2"/>
      <c r="I846" s="2"/>
    </row>
    <row r="847" spans="1:9">
      <c r="A847" s="151"/>
      <c r="B847" s="1"/>
      <c r="C847" s="1"/>
      <c r="D847" s="66"/>
      <c r="E847" s="66"/>
      <c r="F847" s="2"/>
      <c r="G847" s="2"/>
      <c r="H847" s="2"/>
      <c r="I847" s="2"/>
    </row>
    <row r="848" spans="1:9">
      <c r="A848" s="151"/>
      <c r="D848" s="66"/>
      <c r="E848" s="66"/>
      <c r="F848" s="2"/>
      <c r="G848" s="2"/>
      <c r="H848" s="2"/>
      <c r="I848" s="2"/>
    </row>
    <row r="849" spans="1:9">
      <c r="A849" s="151"/>
      <c r="D849" s="66"/>
      <c r="E849" s="66"/>
      <c r="F849" s="2"/>
      <c r="G849" s="2"/>
      <c r="H849" s="2"/>
      <c r="I849" s="2"/>
    </row>
    <row r="850" spans="1:9">
      <c r="A850" s="151"/>
      <c r="D850" s="66"/>
      <c r="E850" s="66"/>
      <c r="F850" s="2"/>
      <c r="G850" s="2"/>
      <c r="H850" s="2"/>
      <c r="I850" s="2"/>
    </row>
    <row r="851" spans="1:9">
      <c r="A851" s="151"/>
      <c r="D851" s="66"/>
      <c r="E851" s="66"/>
      <c r="F851" s="2"/>
      <c r="G851" s="2"/>
      <c r="H851" s="2"/>
      <c r="I851" s="2"/>
    </row>
    <row r="852" spans="1:9">
      <c r="A852" s="151"/>
      <c r="D852" s="66"/>
      <c r="E852" s="66"/>
      <c r="F852" s="2"/>
      <c r="G852" s="2"/>
      <c r="H852" s="2"/>
      <c r="I852" s="2"/>
    </row>
    <row r="853" spans="1:9">
      <c r="A853" s="151"/>
      <c r="D853" s="66"/>
      <c r="E853" s="66"/>
      <c r="F853" s="2"/>
      <c r="G853" s="2"/>
      <c r="H853" s="2"/>
      <c r="I853" s="2"/>
    </row>
    <row r="854" spans="1:9">
      <c r="A854" s="151"/>
      <c r="D854" s="66"/>
      <c r="E854" s="66"/>
      <c r="F854" s="2"/>
      <c r="G854" s="2"/>
      <c r="H854" s="2"/>
      <c r="I854" s="2"/>
    </row>
    <row r="855" spans="1:9">
      <c r="A855" s="151"/>
      <c r="D855" s="66"/>
      <c r="E855" s="66"/>
      <c r="F855" s="2"/>
      <c r="G855" s="2"/>
      <c r="H855" s="2"/>
      <c r="I855" s="2"/>
    </row>
    <row r="856" spans="1:9">
      <c r="A856" s="151"/>
      <c r="D856" s="66"/>
      <c r="E856" s="66"/>
      <c r="F856" s="2"/>
      <c r="G856" s="2"/>
      <c r="H856" s="2"/>
      <c r="I856" s="2"/>
    </row>
    <row r="857" spans="1:9">
      <c r="A857" s="151"/>
      <c r="D857" s="66"/>
      <c r="E857" s="66"/>
      <c r="F857" s="2"/>
      <c r="G857" s="2"/>
      <c r="H857" s="2"/>
      <c r="I857" s="2"/>
    </row>
    <row r="858" spans="1:9">
      <c r="A858" s="151"/>
      <c r="B858" s="151"/>
      <c r="C858" s="151"/>
      <c r="D858" s="66"/>
      <c r="E858" s="66"/>
      <c r="F858" s="2"/>
      <c r="G858" s="2"/>
      <c r="H858" s="2"/>
      <c r="I858" s="2"/>
    </row>
    <row r="859" spans="1:9">
      <c r="A859" s="151"/>
      <c r="B859" s="151"/>
      <c r="C859" s="151"/>
      <c r="D859" s="66"/>
      <c r="E859" s="66"/>
      <c r="F859" s="2"/>
      <c r="G859" s="2"/>
      <c r="H859" s="2"/>
      <c r="I859" s="2"/>
    </row>
    <row r="860" spans="1:9">
      <c r="A860" s="151"/>
      <c r="B860" s="151"/>
      <c r="C860" s="151"/>
      <c r="D860" s="66"/>
      <c r="E860" s="66"/>
      <c r="F860" s="2"/>
      <c r="G860" s="2"/>
      <c r="H860" s="2"/>
      <c r="I860" s="2"/>
    </row>
    <row r="861" spans="1:9">
      <c r="A861" s="151"/>
      <c r="B861" s="151"/>
      <c r="C861" s="151"/>
      <c r="D861" s="66"/>
      <c r="E861" s="66"/>
      <c r="F861" s="2"/>
      <c r="G861" s="2"/>
      <c r="H861" s="2"/>
      <c r="I861" s="2"/>
    </row>
    <row r="862" spans="1:9">
      <c r="A862" s="151"/>
      <c r="B862" s="151"/>
      <c r="C862" s="151"/>
      <c r="D862" s="66"/>
      <c r="E862" s="66"/>
      <c r="F862" s="2"/>
      <c r="G862" s="2"/>
      <c r="H862" s="2"/>
      <c r="I862" s="2"/>
    </row>
    <row r="863" spans="1:9">
      <c r="A863" s="151"/>
      <c r="B863" s="151"/>
      <c r="C863" s="151"/>
      <c r="D863" s="66"/>
      <c r="E863" s="66"/>
      <c r="F863" s="2"/>
      <c r="G863" s="2"/>
      <c r="H863" s="2"/>
      <c r="I863" s="2"/>
    </row>
    <row r="864" spans="1:9">
      <c r="A864" s="151"/>
      <c r="B864" s="151"/>
      <c r="C864" s="151"/>
      <c r="D864" s="66"/>
      <c r="E864" s="66"/>
      <c r="F864" s="2"/>
      <c r="G864" s="2"/>
      <c r="H864" s="2"/>
      <c r="I864" s="2"/>
    </row>
    <row r="865" spans="1:9">
      <c r="A865" s="151"/>
      <c r="B865" s="151"/>
      <c r="C865" s="151"/>
      <c r="D865" s="66"/>
      <c r="E865" s="66"/>
      <c r="F865" s="2"/>
      <c r="G865" s="2"/>
      <c r="H865" s="2"/>
      <c r="I865" s="2"/>
    </row>
    <row r="866" spans="1:9">
      <c r="A866" s="151"/>
      <c r="B866" s="151"/>
      <c r="C866" s="151"/>
      <c r="D866" s="66"/>
      <c r="E866" s="66"/>
      <c r="F866" s="2"/>
      <c r="G866" s="2"/>
      <c r="H866" s="2"/>
      <c r="I866" s="2"/>
    </row>
    <row r="867" spans="1:9">
      <c r="A867" s="151"/>
      <c r="B867" s="151"/>
      <c r="C867" s="151"/>
      <c r="D867" s="66"/>
      <c r="E867" s="66"/>
      <c r="F867" s="2"/>
      <c r="G867" s="2"/>
      <c r="H867" s="2"/>
      <c r="I867" s="2"/>
    </row>
    <row r="868" spans="1:9">
      <c r="A868" s="151"/>
      <c r="B868" s="151"/>
      <c r="C868" s="151"/>
      <c r="D868" s="66"/>
      <c r="E868" s="66"/>
      <c r="F868" s="2"/>
      <c r="G868" s="2"/>
      <c r="H868" s="2"/>
      <c r="I868" s="2"/>
    </row>
    <row r="869" spans="1:9">
      <c r="A869" s="151"/>
      <c r="B869" s="151"/>
      <c r="C869" s="151"/>
      <c r="D869" s="66"/>
      <c r="E869" s="66"/>
      <c r="F869" s="2"/>
      <c r="G869" s="2"/>
      <c r="H869" s="2"/>
      <c r="I869" s="2"/>
    </row>
    <row r="870" spans="1:9">
      <c r="A870" s="151"/>
      <c r="B870" s="151"/>
      <c r="C870" s="151"/>
      <c r="D870" s="66"/>
      <c r="E870" s="66"/>
      <c r="F870" s="2"/>
      <c r="G870" s="2"/>
      <c r="H870" s="2"/>
      <c r="I870" s="2"/>
    </row>
    <row r="871" spans="1:9">
      <c r="A871" s="151"/>
      <c r="B871" s="151"/>
      <c r="C871" s="151"/>
      <c r="D871" s="66"/>
      <c r="E871" s="66"/>
      <c r="F871" s="2"/>
      <c r="G871" s="2"/>
      <c r="H871" s="2"/>
      <c r="I871" s="2"/>
    </row>
    <row r="872" spans="1:9">
      <c r="A872" s="151"/>
      <c r="B872" s="151"/>
      <c r="C872" s="151"/>
      <c r="D872" s="66"/>
      <c r="E872" s="66"/>
      <c r="F872" s="2"/>
      <c r="G872" s="2"/>
      <c r="H872" s="2"/>
      <c r="I872" s="2"/>
    </row>
    <row r="873" spans="1:9">
      <c r="A873" s="151"/>
      <c r="B873" s="151"/>
      <c r="C873" s="151"/>
      <c r="D873" s="66"/>
      <c r="E873" s="66"/>
      <c r="F873" s="2"/>
      <c r="G873" s="2"/>
      <c r="H873" s="2"/>
      <c r="I873" s="2"/>
    </row>
    <row r="874" spans="1:9">
      <c r="A874" s="151"/>
      <c r="B874" s="151"/>
      <c r="C874" s="151"/>
      <c r="D874" s="66"/>
      <c r="E874" s="66"/>
      <c r="F874" s="2"/>
      <c r="G874" s="2"/>
      <c r="H874" s="2"/>
      <c r="I874" s="2"/>
    </row>
    <row r="875" spans="1:9">
      <c r="A875" s="151"/>
      <c r="B875" s="151"/>
      <c r="C875" s="151"/>
      <c r="D875" s="66"/>
      <c r="E875" s="66"/>
      <c r="F875" s="2"/>
      <c r="G875" s="2"/>
      <c r="H875" s="2"/>
      <c r="I875" s="2"/>
    </row>
    <row r="876" spans="1:9">
      <c r="A876" s="151"/>
      <c r="B876" s="151"/>
      <c r="C876" s="151"/>
      <c r="D876" s="66"/>
      <c r="E876" s="66"/>
      <c r="F876" s="2"/>
      <c r="G876" s="2"/>
      <c r="H876" s="2"/>
      <c r="I876" s="2"/>
    </row>
    <row r="877" spans="1:9">
      <c r="A877" s="151"/>
      <c r="B877" s="151"/>
      <c r="C877" s="151"/>
      <c r="D877" s="66"/>
      <c r="E877" s="66"/>
      <c r="F877" s="2"/>
      <c r="G877" s="2"/>
      <c r="H877" s="2"/>
      <c r="I877" s="2"/>
    </row>
    <row r="878" spans="1:9">
      <c r="A878" s="151"/>
      <c r="B878" s="151"/>
      <c r="C878" s="151"/>
      <c r="D878" s="66"/>
      <c r="E878" s="66"/>
      <c r="F878" s="2"/>
      <c r="G878" s="2"/>
      <c r="H878" s="2"/>
      <c r="I878" s="2"/>
    </row>
    <row r="879" spans="1:9">
      <c r="A879" s="151"/>
      <c r="B879" s="151"/>
      <c r="C879" s="151"/>
      <c r="D879" s="66"/>
      <c r="E879" s="66"/>
      <c r="F879" s="2"/>
      <c r="G879" s="2"/>
      <c r="H879" s="2"/>
      <c r="I879" s="2"/>
    </row>
    <row r="880" spans="1:9">
      <c r="A880" s="151"/>
      <c r="B880" s="151"/>
      <c r="C880" s="151"/>
      <c r="D880" s="66"/>
      <c r="E880" s="66"/>
      <c r="F880" s="2"/>
      <c r="G880" s="2"/>
      <c r="H880" s="2"/>
      <c r="I880" s="2"/>
    </row>
    <row r="881" spans="1:9">
      <c r="A881" s="151"/>
      <c r="B881" s="151"/>
      <c r="C881" s="151"/>
      <c r="D881" s="66"/>
      <c r="E881" s="66"/>
      <c r="F881" s="2"/>
      <c r="G881" s="2"/>
      <c r="H881" s="2"/>
      <c r="I881" s="2"/>
    </row>
    <row r="882" spans="1:9">
      <c r="A882" s="151"/>
      <c r="B882" s="151"/>
      <c r="C882" s="151"/>
      <c r="D882" s="66"/>
      <c r="E882" s="66"/>
      <c r="F882" s="2"/>
      <c r="G882" s="2"/>
      <c r="H882" s="2"/>
      <c r="I882" s="2"/>
    </row>
    <row r="883" spans="1:9">
      <c r="A883" s="151"/>
      <c r="B883" s="151"/>
      <c r="C883" s="151"/>
      <c r="D883" s="66"/>
      <c r="E883" s="66"/>
      <c r="F883" s="2"/>
      <c r="G883" s="2"/>
      <c r="H883" s="2"/>
      <c r="I883" s="2"/>
    </row>
    <row r="884" spans="1:9">
      <c r="A884" s="151"/>
      <c r="B884" s="151"/>
      <c r="C884" s="151"/>
      <c r="D884" s="66"/>
      <c r="E884" s="66"/>
      <c r="F884" s="2"/>
      <c r="G884" s="2"/>
      <c r="H884" s="2"/>
      <c r="I884" s="2"/>
    </row>
    <row r="885" spans="1:9">
      <c r="A885" s="151"/>
      <c r="B885" s="151"/>
      <c r="C885" s="151"/>
      <c r="D885" s="66"/>
      <c r="E885" s="66"/>
      <c r="F885" s="2"/>
      <c r="G885" s="2"/>
      <c r="H885" s="2"/>
      <c r="I885" s="2"/>
    </row>
    <row r="886" spans="1:9">
      <c r="A886" s="151"/>
      <c r="B886" s="151"/>
      <c r="C886" s="151"/>
      <c r="D886" s="66"/>
      <c r="E886" s="66"/>
      <c r="F886" s="2"/>
      <c r="G886" s="2"/>
      <c r="H886" s="2"/>
      <c r="I886" s="2"/>
    </row>
    <row r="887" spans="1:9">
      <c r="A887" s="151"/>
      <c r="B887" s="151"/>
      <c r="C887" s="151"/>
      <c r="D887" s="66"/>
      <c r="E887" s="66"/>
      <c r="F887" s="2"/>
      <c r="G887" s="2"/>
      <c r="H887" s="2"/>
      <c r="I887" s="2"/>
    </row>
    <row r="888" spans="1:9">
      <c r="A888" s="151"/>
      <c r="B888" s="151"/>
      <c r="C888" s="151"/>
      <c r="D888" s="66"/>
      <c r="E888" s="66"/>
      <c r="F888" s="2"/>
      <c r="G888" s="2"/>
      <c r="H888" s="2"/>
      <c r="I888" s="2"/>
    </row>
    <row r="889" spans="1:9">
      <c r="A889" s="151"/>
      <c r="B889" s="151"/>
      <c r="C889" s="151"/>
      <c r="D889" s="66"/>
      <c r="E889" s="66"/>
      <c r="F889" s="2"/>
      <c r="G889" s="2"/>
      <c r="H889" s="2"/>
      <c r="I889" s="2"/>
    </row>
    <row r="890" spans="1:9">
      <c r="A890" s="151"/>
      <c r="B890" s="151"/>
      <c r="C890" s="151"/>
      <c r="D890" s="66"/>
      <c r="E890" s="66"/>
      <c r="F890" s="2"/>
      <c r="G890" s="2"/>
      <c r="H890" s="2"/>
      <c r="I890" s="2"/>
    </row>
    <row r="891" spans="1:9">
      <c r="A891" s="151"/>
      <c r="B891" s="151"/>
      <c r="C891" s="151"/>
      <c r="D891" s="66"/>
      <c r="E891" s="66"/>
      <c r="F891" s="2"/>
      <c r="G891" s="2"/>
      <c r="H891" s="2"/>
      <c r="I891" s="2"/>
    </row>
    <row r="892" spans="1:9">
      <c r="A892" s="151"/>
      <c r="B892" s="151"/>
      <c r="C892" s="151"/>
      <c r="D892" s="66"/>
      <c r="E892" s="66"/>
      <c r="F892" s="2"/>
      <c r="G892" s="2"/>
      <c r="H892" s="2"/>
      <c r="I892" s="2"/>
    </row>
    <row r="893" spans="1:9">
      <c r="A893" s="151"/>
      <c r="B893" s="151"/>
      <c r="C893" s="151"/>
      <c r="D893" s="66"/>
      <c r="E893" s="66"/>
      <c r="F893" s="2"/>
      <c r="G893" s="2"/>
      <c r="H893" s="2"/>
      <c r="I893" s="2"/>
    </row>
    <row r="894" spans="1:9">
      <c r="A894" s="151"/>
      <c r="B894" s="151"/>
      <c r="C894" s="151"/>
      <c r="D894" s="66"/>
      <c r="E894" s="66"/>
      <c r="F894" s="2"/>
      <c r="G894" s="2"/>
      <c r="H894" s="2"/>
      <c r="I894" s="2"/>
    </row>
    <row r="895" spans="1:9">
      <c r="A895" s="151"/>
      <c r="B895" s="151"/>
      <c r="C895" s="151"/>
      <c r="D895" s="66"/>
      <c r="E895" s="66"/>
      <c r="F895" s="2"/>
      <c r="G895" s="2"/>
      <c r="H895" s="2"/>
      <c r="I895" s="2"/>
    </row>
    <row r="896" spans="1:9">
      <c r="A896" s="151"/>
      <c r="B896" s="151"/>
      <c r="C896" s="151"/>
      <c r="D896" s="66"/>
      <c r="E896" s="66"/>
      <c r="F896" s="2"/>
      <c r="G896" s="2"/>
      <c r="H896" s="2"/>
      <c r="I896" s="2"/>
    </row>
    <row r="897" spans="1:9">
      <c r="A897" s="151"/>
      <c r="B897" s="151"/>
      <c r="C897" s="151"/>
      <c r="D897" s="66"/>
      <c r="E897" s="66"/>
      <c r="F897" s="2"/>
      <c r="G897" s="2"/>
      <c r="H897" s="2"/>
      <c r="I897" s="2"/>
    </row>
    <row r="898" spans="1:9">
      <c r="A898" s="151"/>
      <c r="B898" s="151"/>
      <c r="C898" s="151"/>
      <c r="D898" s="66"/>
      <c r="E898" s="66"/>
      <c r="F898" s="2"/>
      <c r="G898" s="2"/>
      <c r="H898" s="2"/>
      <c r="I898" s="2"/>
    </row>
    <row r="899" spans="1:9">
      <c r="A899" s="151"/>
      <c r="B899" s="151"/>
      <c r="C899" s="151"/>
      <c r="D899" s="66"/>
      <c r="E899" s="66"/>
      <c r="F899" s="2"/>
      <c r="G899" s="2"/>
      <c r="H899" s="2"/>
      <c r="I899" s="2"/>
    </row>
    <row r="900" spans="1:9">
      <c r="A900" s="151"/>
      <c r="B900" s="151"/>
      <c r="C900" s="151"/>
      <c r="D900" s="66"/>
      <c r="E900" s="66"/>
      <c r="F900" s="2"/>
      <c r="G900" s="2"/>
      <c r="H900" s="2"/>
      <c r="I900" s="2"/>
    </row>
    <row r="901" spans="1:9">
      <c r="A901" s="151"/>
      <c r="B901" s="151"/>
      <c r="C901" s="151"/>
      <c r="D901" s="66"/>
      <c r="E901" s="66"/>
      <c r="F901" s="2"/>
      <c r="G901" s="2"/>
      <c r="H901" s="2"/>
      <c r="I901" s="2"/>
    </row>
    <row r="902" spans="1:9">
      <c r="A902" s="151"/>
      <c r="B902" s="151"/>
      <c r="C902" s="151"/>
      <c r="D902" s="66"/>
      <c r="E902" s="66"/>
      <c r="F902" s="2"/>
      <c r="G902" s="2"/>
      <c r="H902" s="2"/>
      <c r="I902" s="2"/>
    </row>
    <row r="903" spans="1:9">
      <c r="A903" s="151"/>
      <c r="B903" s="151"/>
      <c r="C903" s="151"/>
      <c r="D903" s="66"/>
      <c r="E903" s="66"/>
      <c r="F903" s="2"/>
      <c r="G903" s="2"/>
      <c r="H903" s="2"/>
      <c r="I903" s="2"/>
    </row>
    <row r="904" spans="1:9">
      <c r="A904" s="151"/>
      <c r="B904" s="151"/>
      <c r="C904" s="151"/>
      <c r="D904" s="66"/>
      <c r="E904" s="66"/>
      <c r="F904" s="2"/>
      <c r="G904" s="2"/>
      <c r="H904" s="2"/>
      <c r="I904" s="2"/>
    </row>
    <row r="905" spans="1:9">
      <c r="A905" s="151"/>
      <c r="B905" s="151"/>
      <c r="C905" s="151"/>
      <c r="D905" s="66"/>
      <c r="E905" s="66"/>
      <c r="F905" s="2"/>
      <c r="G905" s="2"/>
      <c r="H905" s="2"/>
      <c r="I905" s="2"/>
    </row>
    <row r="906" spans="1:9">
      <c r="A906" s="151"/>
      <c r="B906" s="151"/>
      <c r="C906" s="151"/>
      <c r="D906" s="66"/>
      <c r="E906" s="66"/>
      <c r="F906" s="2"/>
      <c r="G906" s="2"/>
      <c r="H906" s="2"/>
      <c r="I906" s="2"/>
    </row>
    <row r="907" spans="1:9">
      <c r="A907" s="151"/>
      <c r="B907" s="151"/>
      <c r="C907" s="151"/>
      <c r="D907" s="66"/>
      <c r="E907" s="66"/>
      <c r="F907" s="2"/>
      <c r="G907" s="2"/>
      <c r="H907" s="2"/>
      <c r="I907" s="2"/>
    </row>
    <row r="908" spans="1:9">
      <c r="A908" s="151"/>
      <c r="B908" s="151"/>
      <c r="C908" s="151"/>
      <c r="D908" s="66"/>
      <c r="E908" s="66"/>
      <c r="F908" s="2"/>
      <c r="G908" s="2"/>
      <c r="H908" s="2"/>
      <c r="I908" s="2"/>
    </row>
    <row r="909" spans="1:9">
      <c r="A909" s="151"/>
      <c r="B909" s="151"/>
      <c r="C909" s="151"/>
      <c r="D909" s="66"/>
      <c r="E909" s="66"/>
      <c r="F909" s="2"/>
      <c r="G909" s="2"/>
      <c r="H909" s="2"/>
      <c r="I909" s="2"/>
    </row>
    <row r="910" spans="1:9">
      <c r="A910" s="151"/>
      <c r="B910" s="151"/>
      <c r="C910" s="151"/>
      <c r="D910" s="66"/>
      <c r="E910" s="66"/>
      <c r="F910" s="2"/>
      <c r="G910" s="2"/>
      <c r="H910" s="2"/>
      <c r="I910" s="2"/>
    </row>
    <row r="911" spans="1:9">
      <c r="A911" s="151"/>
      <c r="B911" s="151"/>
      <c r="C911" s="151"/>
      <c r="D911" s="66"/>
      <c r="E911" s="66"/>
      <c r="F911" s="2"/>
      <c r="G911" s="2"/>
      <c r="H911" s="2"/>
      <c r="I911" s="2"/>
    </row>
    <row r="912" spans="1:9">
      <c r="A912" s="151"/>
      <c r="B912" s="151"/>
      <c r="C912" s="151"/>
      <c r="D912" s="66"/>
      <c r="E912" s="66"/>
      <c r="F912" s="2"/>
      <c r="G912" s="2"/>
      <c r="H912" s="2"/>
      <c r="I912" s="2"/>
    </row>
    <row r="913" spans="1:9">
      <c r="A913" s="151"/>
      <c r="B913" s="151"/>
      <c r="C913" s="151"/>
      <c r="D913" s="66"/>
      <c r="E913" s="66"/>
      <c r="F913" s="2"/>
      <c r="G913" s="2"/>
      <c r="H913" s="2"/>
      <c r="I913" s="2"/>
    </row>
    <row r="914" spans="1:9">
      <c r="A914" s="151"/>
      <c r="B914" s="151"/>
      <c r="C914" s="151"/>
      <c r="D914" s="66"/>
      <c r="E914" s="66"/>
      <c r="F914" s="2"/>
      <c r="G914" s="2"/>
      <c r="H914" s="2"/>
      <c r="I914" s="2"/>
    </row>
    <row r="915" spans="1:9">
      <c r="A915" s="151"/>
      <c r="B915" s="151"/>
      <c r="C915" s="151"/>
      <c r="D915" s="66"/>
      <c r="E915" s="66"/>
      <c r="F915" s="2"/>
      <c r="G915" s="2"/>
      <c r="H915" s="2"/>
      <c r="I915" s="2"/>
    </row>
    <row r="916" spans="1:9">
      <c r="A916" s="151"/>
      <c r="B916" s="151"/>
      <c r="C916" s="151"/>
      <c r="D916" s="66"/>
      <c r="E916" s="66"/>
      <c r="F916" s="2"/>
      <c r="G916" s="2"/>
      <c r="H916" s="2"/>
      <c r="I916" s="2"/>
    </row>
    <row r="917" spans="1:9">
      <c r="A917" s="151"/>
      <c r="B917" s="151"/>
      <c r="C917" s="151"/>
      <c r="D917" s="66"/>
      <c r="E917" s="66"/>
      <c r="F917" s="2"/>
      <c r="G917" s="2"/>
      <c r="H917" s="2"/>
      <c r="I917" s="2"/>
    </row>
    <row r="918" spans="1:9">
      <c r="A918" s="151"/>
      <c r="B918" s="151"/>
      <c r="C918" s="151"/>
      <c r="D918" s="66"/>
      <c r="E918" s="66"/>
      <c r="F918" s="2"/>
      <c r="G918" s="2"/>
      <c r="H918" s="2"/>
      <c r="I918" s="2"/>
    </row>
    <row r="919" spans="1:9">
      <c r="A919" s="151"/>
      <c r="B919" s="151"/>
      <c r="C919" s="151"/>
      <c r="D919" s="66"/>
      <c r="E919" s="66"/>
      <c r="F919" s="2"/>
      <c r="G919" s="2"/>
      <c r="H919" s="2"/>
      <c r="I919" s="2"/>
    </row>
    <row r="920" spans="1:9">
      <c r="A920" s="151"/>
      <c r="B920" s="151"/>
      <c r="C920" s="151"/>
      <c r="D920" s="66"/>
      <c r="E920" s="66"/>
      <c r="F920" s="2"/>
      <c r="G920" s="2"/>
      <c r="H920" s="2"/>
      <c r="I920" s="2"/>
    </row>
    <row r="921" spans="1:9">
      <c r="A921" s="151"/>
      <c r="B921" s="151"/>
      <c r="C921" s="151"/>
      <c r="D921" s="66"/>
      <c r="E921" s="66"/>
      <c r="F921" s="2"/>
      <c r="G921" s="2"/>
      <c r="H921" s="2"/>
      <c r="I921" s="2"/>
    </row>
    <row r="922" spans="1:9">
      <c r="A922" s="151"/>
      <c r="B922" s="151"/>
      <c r="C922" s="151"/>
      <c r="D922" s="66"/>
      <c r="E922" s="66"/>
      <c r="F922" s="2"/>
      <c r="G922" s="2"/>
      <c r="H922" s="2"/>
      <c r="I922" s="2"/>
    </row>
    <row r="923" spans="1:9">
      <c r="A923" s="151"/>
      <c r="B923" s="151"/>
      <c r="C923" s="151"/>
      <c r="D923" s="66"/>
      <c r="E923" s="66"/>
      <c r="F923" s="2"/>
      <c r="G923" s="2"/>
      <c r="H923" s="2"/>
      <c r="I923" s="2"/>
    </row>
    <row r="924" spans="1:9">
      <c r="A924" s="151"/>
      <c r="B924" s="151"/>
      <c r="C924" s="151"/>
      <c r="D924" s="66"/>
      <c r="E924" s="66"/>
      <c r="F924" s="2"/>
      <c r="G924" s="2"/>
      <c r="H924" s="2"/>
      <c r="I924" s="2"/>
    </row>
    <row r="925" spans="1:9">
      <c r="A925" s="151"/>
      <c r="B925" s="151"/>
      <c r="C925" s="151"/>
      <c r="D925" s="66"/>
      <c r="E925" s="66"/>
      <c r="F925" s="2"/>
      <c r="G925" s="2"/>
      <c r="H925" s="2"/>
      <c r="I925" s="2"/>
    </row>
    <row r="926" spans="1:9">
      <c r="A926" s="151"/>
      <c r="B926" s="151"/>
      <c r="C926" s="151"/>
      <c r="D926" s="66"/>
      <c r="E926" s="66"/>
      <c r="F926" s="2"/>
      <c r="G926" s="2"/>
      <c r="H926" s="2"/>
      <c r="I926" s="2"/>
    </row>
    <row r="927" spans="1:9">
      <c r="A927" s="151"/>
      <c r="B927" s="151"/>
      <c r="C927" s="151"/>
      <c r="D927" s="66"/>
      <c r="E927" s="66"/>
      <c r="F927" s="2"/>
      <c r="G927" s="2"/>
      <c r="H927" s="2"/>
      <c r="I927" s="2"/>
    </row>
    <row r="928" spans="1:9">
      <c r="A928" s="151"/>
      <c r="B928" s="151"/>
      <c r="C928" s="151"/>
      <c r="D928" s="66"/>
      <c r="E928" s="66"/>
      <c r="F928" s="2"/>
      <c r="G928" s="2"/>
      <c r="H928" s="2"/>
      <c r="I928" s="2"/>
    </row>
    <row r="929" spans="1:9">
      <c r="A929" s="151"/>
      <c r="B929" s="151"/>
      <c r="C929" s="151"/>
      <c r="D929" s="66"/>
      <c r="E929" s="66"/>
      <c r="F929" s="2"/>
      <c r="G929" s="2"/>
      <c r="H929" s="2"/>
      <c r="I929" s="2"/>
    </row>
    <row r="930" spans="1:9">
      <c r="A930" s="151"/>
      <c r="B930" s="151"/>
      <c r="C930" s="151"/>
      <c r="D930" s="66"/>
      <c r="E930" s="66"/>
      <c r="F930" s="2"/>
      <c r="G930" s="2"/>
      <c r="H930" s="2"/>
      <c r="I930" s="2"/>
    </row>
    <row r="931" spans="1:9">
      <c r="A931" s="151"/>
      <c r="B931" s="151"/>
      <c r="C931" s="151"/>
      <c r="D931" s="66"/>
      <c r="E931" s="66"/>
      <c r="F931" s="2"/>
      <c r="G931" s="2"/>
      <c r="H931" s="2"/>
      <c r="I931" s="2"/>
    </row>
    <row r="932" spans="1:9">
      <c r="A932" s="151"/>
      <c r="B932" s="151"/>
      <c r="C932" s="151"/>
      <c r="D932" s="66"/>
      <c r="E932" s="66"/>
      <c r="F932" s="2"/>
      <c r="G932" s="2"/>
      <c r="H932" s="2"/>
      <c r="I932" s="2"/>
    </row>
    <row r="933" spans="1:9">
      <c r="A933" s="151"/>
      <c r="B933" s="151"/>
      <c r="C933" s="151"/>
      <c r="D933" s="66"/>
      <c r="E933" s="66"/>
      <c r="F933" s="2"/>
      <c r="G933" s="2"/>
      <c r="H933" s="2"/>
      <c r="I933" s="2"/>
    </row>
    <row r="934" spans="1:9">
      <c r="A934" s="151"/>
      <c r="B934" s="151"/>
      <c r="C934" s="151"/>
      <c r="D934" s="66"/>
      <c r="E934" s="66"/>
      <c r="F934" s="2"/>
      <c r="G934" s="2"/>
      <c r="H934" s="2"/>
      <c r="I934" s="2"/>
    </row>
    <row r="935" spans="1:9">
      <c r="A935" s="151"/>
      <c r="B935" s="151"/>
      <c r="C935" s="151"/>
      <c r="D935" s="66"/>
      <c r="E935" s="66"/>
      <c r="F935" s="2"/>
      <c r="G935" s="2"/>
      <c r="H935" s="2"/>
      <c r="I935" s="2"/>
    </row>
    <row r="936" spans="1:9">
      <c r="A936" s="151"/>
      <c r="B936" s="151"/>
      <c r="C936" s="151"/>
      <c r="D936" s="66"/>
      <c r="E936" s="66"/>
      <c r="F936" s="2"/>
      <c r="G936" s="2"/>
      <c r="H936" s="2"/>
      <c r="I936" s="2"/>
    </row>
    <row r="937" spans="1:9">
      <c r="A937" s="151"/>
      <c r="B937" s="151"/>
      <c r="C937" s="151"/>
      <c r="D937" s="66"/>
      <c r="E937" s="66"/>
      <c r="F937" s="2"/>
      <c r="G937" s="2"/>
      <c r="H937" s="2"/>
      <c r="I937" s="2"/>
    </row>
    <row r="938" spans="1:9">
      <c r="A938" s="151"/>
      <c r="B938" s="151"/>
      <c r="C938" s="151"/>
      <c r="D938" s="66"/>
      <c r="E938" s="66"/>
      <c r="F938" s="2"/>
      <c r="G938" s="2"/>
      <c r="H938" s="2"/>
      <c r="I938" s="2"/>
    </row>
    <row r="939" spans="1:9">
      <c r="A939" s="151"/>
      <c r="B939" s="151"/>
      <c r="C939" s="151"/>
      <c r="D939" s="66"/>
      <c r="E939" s="66"/>
      <c r="F939" s="2"/>
      <c r="G939" s="2"/>
      <c r="H939" s="2"/>
      <c r="I939" s="2"/>
    </row>
    <row r="940" spans="1:9">
      <c r="A940" s="151"/>
      <c r="B940" s="151"/>
      <c r="C940" s="151"/>
      <c r="D940" s="66"/>
      <c r="E940" s="66"/>
      <c r="F940" s="2"/>
      <c r="G940" s="2"/>
      <c r="H940" s="2"/>
      <c r="I940" s="2"/>
    </row>
    <row r="941" spans="1:9">
      <c r="A941" s="151"/>
      <c r="B941" s="151"/>
      <c r="C941" s="151"/>
      <c r="D941" s="66"/>
      <c r="E941" s="66"/>
      <c r="F941" s="2"/>
      <c r="G941" s="2"/>
      <c r="H941" s="2"/>
      <c r="I941" s="2"/>
    </row>
    <row r="942" spans="1:9">
      <c r="A942" s="151"/>
      <c r="B942" s="151"/>
      <c r="C942" s="151"/>
      <c r="D942" s="66"/>
      <c r="E942" s="66"/>
      <c r="F942" s="2"/>
      <c r="G942" s="2"/>
      <c r="H942" s="2"/>
      <c r="I942" s="2"/>
    </row>
    <row r="943" spans="1:9">
      <c r="A943" s="151"/>
      <c r="B943" s="151"/>
      <c r="C943" s="151"/>
      <c r="D943" s="66"/>
      <c r="E943" s="66"/>
      <c r="F943" s="2"/>
      <c r="G943" s="2"/>
      <c r="H943" s="2"/>
      <c r="I943" s="2"/>
    </row>
    <row r="944" spans="1:9">
      <c r="A944" s="151"/>
      <c r="B944" s="151"/>
      <c r="C944" s="151"/>
      <c r="D944" s="66"/>
      <c r="E944" s="66"/>
      <c r="F944" s="2"/>
      <c r="G944" s="2"/>
      <c r="H944" s="2"/>
      <c r="I944" s="2"/>
    </row>
    <row r="945" spans="1:9">
      <c r="A945" s="151"/>
      <c r="B945" s="151"/>
      <c r="C945" s="151"/>
      <c r="D945" s="66"/>
      <c r="E945" s="66"/>
      <c r="F945" s="2"/>
      <c r="G945" s="2"/>
      <c r="H945" s="2"/>
      <c r="I945" s="2"/>
    </row>
    <row r="946" spans="1:9">
      <c r="A946" s="151"/>
      <c r="B946" s="151"/>
      <c r="C946" s="151"/>
      <c r="D946" s="66"/>
      <c r="E946" s="66"/>
      <c r="F946" s="2"/>
      <c r="G946" s="2"/>
      <c r="H946" s="2"/>
      <c r="I946" s="2"/>
    </row>
    <row r="947" spans="1:9">
      <c r="A947" s="151"/>
      <c r="B947" s="151"/>
      <c r="C947" s="151"/>
      <c r="D947" s="66"/>
      <c r="E947" s="66"/>
      <c r="F947" s="2"/>
      <c r="G947" s="2"/>
      <c r="H947" s="2"/>
      <c r="I947" s="2"/>
    </row>
    <row r="948" spans="1:9">
      <c r="A948" s="151"/>
      <c r="B948" s="151"/>
      <c r="C948" s="151"/>
      <c r="D948" s="66"/>
      <c r="E948" s="66"/>
      <c r="F948" s="2"/>
      <c r="G948" s="2"/>
      <c r="H948" s="2"/>
      <c r="I948" s="2"/>
    </row>
    <row r="949" spans="1:9">
      <c r="A949" s="151"/>
      <c r="B949" s="151"/>
      <c r="C949" s="151"/>
      <c r="D949" s="66"/>
      <c r="E949" s="66"/>
      <c r="F949" s="2"/>
      <c r="G949" s="2"/>
      <c r="H949" s="2"/>
      <c r="I949" s="2"/>
    </row>
    <row r="950" spans="1:9">
      <c r="A950" s="151"/>
      <c r="B950" s="151"/>
      <c r="C950" s="151"/>
      <c r="D950" s="66"/>
      <c r="E950" s="66"/>
      <c r="F950" s="2"/>
      <c r="G950" s="2"/>
      <c r="H950" s="2"/>
      <c r="I950" s="2"/>
    </row>
    <row r="951" spans="1:9">
      <c r="A951" s="151"/>
      <c r="B951" s="151"/>
      <c r="C951" s="151"/>
      <c r="D951" s="66"/>
      <c r="E951" s="66"/>
      <c r="F951" s="2"/>
      <c r="G951" s="2"/>
      <c r="H951" s="2"/>
      <c r="I951" s="2"/>
    </row>
    <row r="952" spans="1:9">
      <c r="A952" s="151"/>
      <c r="B952" s="151"/>
      <c r="C952" s="151"/>
      <c r="D952" s="66"/>
      <c r="E952" s="66"/>
      <c r="F952" s="2"/>
      <c r="G952" s="2"/>
      <c r="H952" s="2"/>
      <c r="I952" s="2"/>
    </row>
    <row r="953" spans="1:9">
      <c r="A953" s="151"/>
      <c r="B953" s="151"/>
      <c r="C953" s="151"/>
      <c r="D953" s="66"/>
      <c r="E953" s="66"/>
      <c r="F953" s="2"/>
      <c r="G953" s="2"/>
      <c r="H953" s="2"/>
      <c r="I953" s="2"/>
    </row>
    <row r="954" spans="1:9">
      <c r="A954" s="151"/>
      <c r="B954" s="151"/>
      <c r="C954" s="151"/>
      <c r="D954" s="66"/>
      <c r="E954" s="66"/>
      <c r="F954" s="2"/>
      <c r="G954" s="2"/>
      <c r="H954" s="2"/>
      <c r="I954" s="2"/>
    </row>
    <row r="955" spans="1:9">
      <c r="A955" s="151"/>
      <c r="B955" s="151"/>
      <c r="C955" s="151"/>
      <c r="D955" s="66"/>
      <c r="E955" s="66"/>
      <c r="F955" s="2"/>
      <c r="G955" s="2"/>
      <c r="H955" s="2"/>
      <c r="I955" s="2"/>
    </row>
    <row r="956" spans="1:9">
      <c r="A956" s="151"/>
      <c r="B956" s="151"/>
      <c r="C956" s="151"/>
      <c r="D956" s="66"/>
      <c r="E956" s="66"/>
      <c r="F956" s="2"/>
      <c r="G956" s="2"/>
      <c r="H956" s="2"/>
      <c r="I956" s="2"/>
    </row>
    <row r="957" spans="1:9">
      <c r="A957" s="151"/>
      <c r="B957" s="151"/>
      <c r="C957" s="151"/>
      <c r="D957" s="66"/>
      <c r="E957" s="66"/>
      <c r="F957" s="2"/>
      <c r="G957" s="2"/>
      <c r="H957" s="2"/>
      <c r="I957" s="2"/>
    </row>
    <row r="958" spans="1:9">
      <c r="A958" s="151"/>
      <c r="B958" s="151"/>
      <c r="C958" s="151"/>
      <c r="D958" s="66"/>
      <c r="E958" s="66"/>
      <c r="F958" s="2"/>
      <c r="G958" s="2"/>
      <c r="H958" s="2"/>
      <c r="I958" s="2"/>
    </row>
    <row r="959" spans="1:9">
      <c r="A959" s="151"/>
      <c r="B959" s="151"/>
      <c r="C959" s="151"/>
      <c r="D959" s="66"/>
      <c r="E959" s="66"/>
      <c r="F959" s="2"/>
      <c r="G959" s="2"/>
      <c r="H959" s="2"/>
      <c r="I959" s="2"/>
    </row>
    <row r="960" spans="1:9">
      <c r="A960" s="151"/>
      <c r="B960" s="151"/>
      <c r="C960" s="151"/>
      <c r="D960" s="66"/>
      <c r="E960" s="66"/>
      <c r="F960" s="2"/>
      <c r="G960" s="2"/>
      <c r="H960" s="2"/>
      <c r="I960" s="2"/>
    </row>
    <row r="961" spans="1:9">
      <c r="A961" s="151"/>
      <c r="B961" s="151"/>
      <c r="C961" s="151"/>
      <c r="D961" s="66"/>
      <c r="E961" s="66"/>
      <c r="F961" s="2"/>
      <c r="G961" s="2"/>
      <c r="H961" s="2"/>
      <c r="I961" s="2"/>
    </row>
    <row r="962" spans="1:9">
      <c r="A962" s="151"/>
      <c r="B962" s="151"/>
      <c r="C962" s="151"/>
      <c r="D962" s="66"/>
      <c r="E962" s="66"/>
      <c r="F962" s="2"/>
      <c r="G962" s="2"/>
      <c r="H962" s="2"/>
      <c r="I962" s="2"/>
    </row>
    <row r="963" spans="1:9">
      <c r="A963" s="151"/>
      <c r="B963" s="151"/>
      <c r="C963" s="151"/>
      <c r="D963" s="66"/>
      <c r="E963" s="66"/>
      <c r="F963" s="2"/>
      <c r="G963" s="2"/>
      <c r="H963" s="2"/>
      <c r="I963" s="2"/>
    </row>
    <row r="964" spans="1:9">
      <c r="A964" s="151"/>
      <c r="B964" s="151"/>
      <c r="C964" s="151"/>
      <c r="D964" s="66"/>
      <c r="E964" s="66"/>
      <c r="F964" s="2"/>
      <c r="G964" s="2"/>
      <c r="H964" s="2"/>
      <c r="I964" s="2"/>
    </row>
    <row r="965" spans="1:9">
      <c r="A965" s="151"/>
      <c r="B965" s="151"/>
      <c r="C965" s="151"/>
      <c r="D965" s="66"/>
      <c r="E965" s="66"/>
      <c r="F965" s="2"/>
      <c r="G965" s="2"/>
      <c r="H965" s="2"/>
      <c r="I965" s="2"/>
    </row>
    <row r="966" spans="1:9">
      <c r="A966" s="151"/>
      <c r="B966" s="151"/>
      <c r="C966" s="151"/>
      <c r="D966" s="66"/>
      <c r="E966" s="66"/>
      <c r="F966" s="2"/>
      <c r="G966" s="2"/>
      <c r="H966" s="2"/>
      <c r="I966" s="2"/>
    </row>
    <row r="967" spans="1:9">
      <c r="A967" s="151"/>
      <c r="B967" s="151"/>
      <c r="C967" s="151"/>
      <c r="D967" s="66"/>
      <c r="E967" s="66"/>
      <c r="F967" s="2"/>
      <c r="G967" s="2"/>
      <c r="H967" s="2"/>
      <c r="I967" s="2"/>
    </row>
    <row r="968" spans="1:9">
      <c r="A968" s="151"/>
      <c r="B968" s="151"/>
      <c r="C968" s="151"/>
      <c r="D968" s="66"/>
      <c r="E968" s="66"/>
      <c r="F968" s="2"/>
      <c r="G968" s="2"/>
      <c r="H968" s="2"/>
      <c r="I968" s="2"/>
    </row>
    <row r="969" spans="1:9">
      <c r="A969" s="151"/>
      <c r="B969" s="151"/>
      <c r="C969" s="151"/>
      <c r="D969" s="66"/>
      <c r="E969" s="66"/>
      <c r="F969" s="2"/>
      <c r="G969" s="2"/>
      <c r="H969" s="2"/>
      <c r="I969" s="2"/>
    </row>
    <row r="970" spans="1:9">
      <c r="A970" s="151"/>
      <c r="B970" s="151"/>
      <c r="C970" s="151"/>
      <c r="D970" s="66"/>
      <c r="E970" s="66"/>
      <c r="F970" s="2"/>
      <c r="G970" s="2"/>
      <c r="H970" s="2"/>
      <c r="I970" s="2"/>
    </row>
    <row r="971" spans="1:9">
      <c r="A971" s="151"/>
      <c r="B971" s="151"/>
      <c r="C971" s="151"/>
      <c r="D971" s="66"/>
      <c r="E971" s="66"/>
      <c r="F971" s="2"/>
      <c r="G971" s="2"/>
      <c r="H971" s="2"/>
      <c r="I971" s="2"/>
    </row>
    <row r="972" spans="1:9">
      <c r="A972" s="151"/>
      <c r="B972" s="151"/>
      <c r="C972" s="151"/>
      <c r="D972" s="66"/>
      <c r="E972" s="66"/>
      <c r="F972" s="2"/>
      <c r="G972" s="2"/>
      <c r="H972" s="2"/>
      <c r="I972" s="2"/>
    </row>
    <row r="973" spans="1:9">
      <c r="A973" s="151"/>
      <c r="B973" s="151"/>
      <c r="C973" s="151"/>
      <c r="D973" s="66"/>
      <c r="E973" s="66"/>
      <c r="F973" s="2"/>
      <c r="G973" s="2"/>
      <c r="H973" s="2"/>
      <c r="I973" s="2"/>
    </row>
    <row r="974" spans="1:9">
      <c r="A974" s="151"/>
      <c r="B974" s="151"/>
      <c r="C974" s="151"/>
      <c r="D974" s="66"/>
      <c r="E974" s="66"/>
      <c r="F974" s="2"/>
      <c r="G974" s="2"/>
      <c r="H974" s="2"/>
      <c r="I974" s="2"/>
    </row>
    <row r="975" spans="1:9">
      <c r="A975" s="151"/>
      <c r="B975" s="151"/>
      <c r="C975" s="151"/>
      <c r="D975" s="66"/>
      <c r="E975" s="66"/>
      <c r="F975" s="2"/>
      <c r="G975" s="2"/>
      <c r="H975" s="2"/>
      <c r="I975" s="2"/>
    </row>
    <row r="976" spans="1:9">
      <c r="A976" s="151"/>
      <c r="B976" s="151"/>
      <c r="C976" s="151"/>
      <c r="D976" s="66"/>
      <c r="E976" s="66"/>
      <c r="F976" s="2"/>
      <c r="G976" s="2"/>
      <c r="H976" s="2"/>
      <c r="I976" s="2"/>
    </row>
    <row r="977" spans="1:9">
      <c r="A977" s="151"/>
      <c r="B977" s="151"/>
      <c r="C977" s="151"/>
      <c r="D977" s="66"/>
      <c r="E977" s="66"/>
      <c r="F977" s="2"/>
      <c r="G977" s="2"/>
      <c r="H977" s="2"/>
      <c r="I977" s="2"/>
    </row>
    <row r="978" spans="1:9">
      <c r="A978" s="151"/>
      <c r="B978" s="151"/>
      <c r="C978" s="151"/>
      <c r="D978" s="66"/>
      <c r="E978" s="66"/>
      <c r="F978" s="2"/>
      <c r="G978" s="2"/>
      <c r="H978" s="2"/>
      <c r="I978" s="2"/>
    </row>
    <row r="979" spans="1:9">
      <c r="A979" s="151"/>
      <c r="B979" s="151"/>
      <c r="C979" s="151"/>
      <c r="D979" s="66"/>
      <c r="E979" s="66"/>
      <c r="F979" s="2"/>
      <c r="G979" s="2"/>
      <c r="H979" s="2"/>
      <c r="I979" s="2"/>
    </row>
    <row r="980" spans="1:9">
      <c r="A980" s="151"/>
      <c r="B980" s="151"/>
      <c r="C980" s="151"/>
      <c r="D980" s="66"/>
      <c r="E980" s="66"/>
      <c r="F980" s="2"/>
      <c r="G980" s="2"/>
      <c r="H980" s="2"/>
      <c r="I980" s="2"/>
    </row>
    <row r="981" spans="1:9">
      <c r="A981" s="151"/>
      <c r="B981" s="151"/>
      <c r="C981" s="151"/>
      <c r="D981" s="66"/>
      <c r="E981" s="66"/>
      <c r="F981" s="2"/>
      <c r="G981" s="2"/>
      <c r="H981" s="2"/>
      <c r="I981" s="2"/>
    </row>
    <row r="982" spans="1:9">
      <c r="A982" s="151"/>
      <c r="B982" s="151"/>
      <c r="C982" s="151"/>
      <c r="D982" s="66"/>
      <c r="E982" s="66"/>
      <c r="F982" s="2"/>
      <c r="G982" s="2"/>
      <c r="H982" s="2"/>
      <c r="I982" s="2"/>
    </row>
    <row r="983" spans="1:9">
      <c r="A983" s="151"/>
      <c r="B983" s="151"/>
      <c r="C983" s="151"/>
      <c r="D983" s="66"/>
      <c r="E983" s="66"/>
      <c r="F983" s="2"/>
      <c r="G983" s="2"/>
      <c r="H983" s="2"/>
      <c r="I983" s="2"/>
    </row>
    <row r="984" spans="1:9">
      <c r="A984" s="151"/>
      <c r="B984" s="151"/>
      <c r="C984" s="151"/>
      <c r="D984" s="66"/>
      <c r="E984" s="66"/>
      <c r="F984" s="2"/>
      <c r="G984" s="2"/>
      <c r="H984" s="2"/>
      <c r="I984" s="2"/>
    </row>
    <row r="985" spans="1:9">
      <c r="A985" s="151"/>
      <c r="B985" s="151"/>
      <c r="C985" s="151"/>
      <c r="D985" s="66"/>
      <c r="E985" s="66"/>
      <c r="F985" s="2"/>
      <c r="G985" s="2"/>
      <c r="H985" s="2"/>
      <c r="I985" s="2"/>
    </row>
    <row r="986" spans="1:9">
      <c r="A986" s="151"/>
      <c r="B986" s="151"/>
      <c r="C986" s="151"/>
      <c r="D986" s="66"/>
      <c r="E986" s="66"/>
      <c r="F986" s="2"/>
      <c r="G986" s="2"/>
      <c r="H986" s="2"/>
      <c r="I986" s="2"/>
    </row>
    <row r="987" spans="1:9">
      <c r="A987" s="151"/>
      <c r="B987" s="151"/>
      <c r="C987" s="151"/>
      <c r="D987" s="66"/>
      <c r="E987" s="66"/>
      <c r="F987" s="2"/>
      <c r="G987" s="2"/>
      <c r="H987" s="2"/>
      <c r="I987" s="2"/>
    </row>
    <row r="988" spans="1:9">
      <c r="A988" s="151"/>
      <c r="B988" s="151"/>
      <c r="C988" s="151"/>
      <c r="D988" s="66"/>
      <c r="E988" s="66"/>
      <c r="F988" s="2"/>
      <c r="G988" s="2"/>
      <c r="H988" s="2"/>
      <c r="I988" s="2"/>
    </row>
    <row r="989" spans="1:9">
      <c r="A989" s="151"/>
      <c r="B989" s="151"/>
      <c r="C989" s="151"/>
      <c r="D989" s="66"/>
      <c r="E989" s="66"/>
      <c r="F989" s="2"/>
      <c r="G989" s="2"/>
      <c r="H989" s="2"/>
      <c r="I989" s="2"/>
    </row>
    <row r="990" spans="1:9">
      <c r="A990" s="151"/>
      <c r="B990" s="151"/>
      <c r="C990" s="151"/>
      <c r="D990" s="66"/>
      <c r="E990" s="66"/>
      <c r="F990" s="2"/>
      <c r="G990" s="2"/>
      <c r="H990" s="2"/>
      <c r="I990" s="2"/>
    </row>
    <row r="991" spans="1:9">
      <c r="A991" s="151"/>
      <c r="B991" s="151"/>
      <c r="C991" s="151"/>
      <c r="D991" s="66"/>
      <c r="E991" s="66"/>
      <c r="F991" s="2"/>
      <c r="G991" s="2"/>
      <c r="H991" s="2"/>
      <c r="I991" s="2"/>
    </row>
    <row r="992" spans="1:9">
      <c r="A992" s="151"/>
      <c r="B992" s="151"/>
      <c r="C992" s="151"/>
      <c r="D992" s="66"/>
      <c r="E992" s="66"/>
      <c r="F992" s="2"/>
      <c r="G992" s="2"/>
      <c r="H992" s="2"/>
      <c r="I992" s="2"/>
    </row>
    <row r="993" spans="1:9">
      <c r="A993" s="151"/>
      <c r="B993" s="151"/>
      <c r="C993" s="151"/>
      <c r="D993" s="66"/>
      <c r="E993" s="66"/>
      <c r="F993" s="2"/>
      <c r="G993" s="2"/>
      <c r="H993" s="2"/>
      <c r="I993" s="2"/>
    </row>
    <row r="994" spans="1:9">
      <c r="A994" s="151"/>
      <c r="B994" s="151"/>
      <c r="C994" s="151"/>
      <c r="D994" s="66"/>
      <c r="E994" s="66"/>
      <c r="F994" s="2"/>
      <c r="G994" s="2"/>
      <c r="H994" s="2"/>
      <c r="I994" s="2"/>
    </row>
    <row r="995" spans="1:9">
      <c r="A995" s="151"/>
      <c r="B995" s="151"/>
      <c r="C995" s="151"/>
      <c r="D995" s="66"/>
      <c r="E995" s="66"/>
      <c r="F995" s="2"/>
      <c r="G995" s="2"/>
      <c r="H995" s="2"/>
      <c r="I995" s="2"/>
    </row>
    <row r="996" spans="1:9">
      <c r="A996" s="151"/>
      <c r="B996" s="151"/>
      <c r="C996" s="151"/>
      <c r="D996" s="66"/>
      <c r="E996" s="66"/>
      <c r="F996" s="2"/>
      <c r="G996" s="2"/>
      <c r="H996" s="2"/>
      <c r="I996" s="2"/>
    </row>
  </sheetData>
  <phoneticPr fontId="26" type="noConversion"/>
  <pageMargins left="0.53" right="0.5" top="1" bottom="1" header="0.5" footer="0.5"/>
  <pageSetup paperSize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AD597"/>
  <sheetViews>
    <sheetView topLeftCell="A74" workbookViewId="0">
      <selection activeCell="A96" sqref="A96:S804"/>
    </sheetView>
  </sheetViews>
  <sheetFormatPr defaultRowHeight="12.75"/>
  <cols>
    <col min="1" max="1" width="45.85546875" style="32" customWidth="1"/>
    <col min="2" max="2" width="10.85546875" style="32" customWidth="1"/>
    <col min="3" max="4" width="10.42578125" style="32" customWidth="1"/>
    <col min="5" max="6" width="11.7109375" style="32" customWidth="1"/>
    <col min="7" max="7" width="9.140625" style="32"/>
    <col min="8" max="8" width="3.140625" style="32" customWidth="1"/>
    <col min="9" max="9" width="3.7109375" style="32" customWidth="1"/>
    <col min="10" max="10" width="18.28515625" style="32" customWidth="1"/>
    <col min="11" max="11" width="11.7109375" style="32" customWidth="1"/>
    <col min="12" max="12" width="13" style="32" customWidth="1"/>
    <col min="13" max="13" width="11.140625" style="32" customWidth="1"/>
    <col min="14" max="256" width="9.140625" style="32"/>
    <col min="257" max="257" width="45.85546875" style="32" customWidth="1"/>
    <col min="258" max="258" width="10.85546875" style="32" customWidth="1"/>
    <col min="259" max="260" width="10.42578125" style="32" customWidth="1"/>
    <col min="261" max="262" width="11.7109375" style="32" customWidth="1"/>
    <col min="263" max="263" width="9.140625" style="32"/>
    <col min="264" max="264" width="3.140625" style="32" customWidth="1"/>
    <col min="265" max="265" width="3.7109375" style="32" customWidth="1"/>
    <col min="266" max="266" width="18.28515625" style="32" customWidth="1"/>
    <col min="267" max="267" width="11.7109375" style="32" customWidth="1"/>
    <col min="268" max="268" width="13" style="32" customWidth="1"/>
    <col min="269" max="269" width="11.140625" style="32" customWidth="1"/>
    <col min="270" max="512" width="9.140625" style="32"/>
    <col min="513" max="513" width="45.85546875" style="32" customWidth="1"/>
    <col min="514" max="514" width="10.85546875" style="32" customWidth="1"/>
    <col min="515" max="516" width="10.42578125" style="32" customWidth="1"/>
    <col min="517" max="518" width="11.7109375" style="32" customWidth="1"/>
    <col min="519" max="519" width="9.140625" style="32"/>
    <col min="520" max="520" width="3.140625" style="32" customWidth="1"/>
    <col min="521" max="521" width="3.7109375" style="32" customWidth="1"/>
    <col min="522" max="522" width="18.28515625" style="32" customWidth="1"/>
    <col min="523" max="523" width="11.7109375" style="32" customWidth="1"/>
    <col min="524" max="524" width="13" style="32" customWidth="1"/>
    <col min="525" max="525" width="11.140625" style="32" customWidth="1"/>
    <col min="526" max="768" width="9.140625" style="32"/>
    <col min="769" max="769" width="45.85546875" style="32" customWidth="1"/>
    <col min="770" max="770" width="10.85546875" style="32" customWidth="1"/>
    <col min="771" max="772" width="10.42578125" style="32" customWidth="1"/>
    <col min="773" max="774" width="11.7109375" style="32" customWidth="1"/>
    <col min="775" max="775" width="9.140625" style="32"/>
    <col min="776" max="776" width="3.140625" style="32" customWidth="1"/>
    <col min="777" max="777" width="3.7109375" style="32" customWidth="1"/>
    <col min="778" max="778" width="18.28515625" style="32" customWidth="1"/>
    <col min="779" max="779" width="11.7109375" style="32" customWidth="1"/>
    <col min="780" max="780" width="13" style="32" customWidth="1"/>
    <col min="781" max="781" width="11.140625" style="32" customWidth="1"/>
    <col min="782" max="1024" width="9.140625" style="32"/>
    <col min="1025" max="1025" width="45.85546875" style="32" customWidth="1"/>
    <col min="1026" max="1026" width="10.85546875" style="32" customWidth="1"/>
    <col min="1027" max="1028" width="10.42578125" style="32" customWidth="1"/>
    <col min="1029" max="1030" width="11.7109375" style="32" customWidth="1"/>
    <col min="1031" max="1031" width="9.140625" style="32"/>
    <col min="1032" max="1032" width="3.140625" style="32" customWidth="1"/>
    <col min="1033" max="1033" width="3.7109375" style="32" customWidth="1"/>
    <col min="1034" max="1034" width="18.28515625" style="32" customWidth="1"/>
    <col min="1035" max="1035" width="11.7109375" style="32" customWidth="1"/>
    <col min="1036" max="1036" width="13" style="32" customWidth="1"/>
    <col min="1037" max="1037" width="11.140625" style="32" customWidth="1"/>
    <col min="1038" max="1280" width="9.140625" style="32"/>
    <col min="1281" max="1281" width="45.85546875" style="32" customWidth="1"/>
    <col min="1282" max="1282" width="10.85546875" style="32" customWidth="1"/>
    <col min="1283" max="1284" width="10.42578125" style="32" customWidth="1"/>
    <col min="1285" max="1286" width="11.7109375" style="32" customWidth="1"/>
    <col min="1287" max="1287" width="9.140625" style="32"/>
    <col min="1288" max="1288" width="3.140625" style="32" customWidth="1"/>
    <col min="1289" max="1289" width="3.7109375" style="32" customWidth="1"/>
    <col min="1290" max="1290" width="18.28515625" style="32" customWidth="1"/>
    <col min="1291" max="1291" width="11.7109375" style="32" customWidth="1"/>
    <col min="1292" max="1292" width="13" style="32" customWidth="1"/>
    <col min="1293" max="1293" width="11.140625" style="32" customWidth="1"/>
    <col min="1294" max="1536" width="9.140625" style="32"/>
    <col min="1537" max="1537" width="45.85546875" style="32" customWidth="1"/>
    <col min="1538" max="1538" width="10.85546875" style="32" customWidth="1"/>
    <col min="1539" max="1540" width="10.42578125" style="32" customWidth="1"/>
    <col min="1541" max="1542" width="11.7109375" style="32" customWidth="1"/>
    <col min="1543" max="1543" width="9.140625" style="32"/>
    <col min="1544" max="1544" width="3.140625" style="32" customWidth="1"/>
    <col min="1545" max="1545" width="3.7109375" style="32" customWidth="1"/>
    <col min="1546" max="1546" width="18.28515625" style="32" customWidth="1"/>
    <col min="1547" max="1547" width="11.7109375" style="32" customWidth="1"/>
    <col min="1548" max="1548" width="13" style="32" customWidth="1"/>
    <col min="1549" max="1549" width="11.140625" style="32" customWidth="1"/>
    <col min="1550" max="1792" width="9.140625" style="32"/>
    <col min="1793" max="1793" width="45.85546875" style="32" customWidth="1"/>
    <col min="1794" max="1794" width="10.85546875" style="32" customWidth="1"/>
    <col min="1795" max="1796" width="10.42578125" style="32" customWidth="1"/>
    <col min="1797" max="1798" width="11.7109375" style="32" customWidth="1"/>
    <col min="1799" max="1799" width="9.140625" style="32"/>
    <col min="1800" max="1800" width="3.140625" style="32" customWidth="1"/>
    <col min="1801" max="1801" width="3.7109375" style="32" customWidth="1"/>
    <col min="1802" max="1802" width="18.28515625" style="32" customWidth="1"/>
    <col min="1803" max="1803" width="11.7109375" style="32" customWidth="1"/>
    <col min="1804" max="1804" width="13" style="32" customWidth="1"/>
    <col min="1805" max="1805" width="11.140625" style="32" customWidth="1"/>
    <col min="1806" max="2048" width="9.140625" style="32"/>
    <col min="2049" max="2049" width="45.85546875" style="32" customWidth="1"/>
    <col min="2050" max="2050" width="10.85546875" style="32" customWidth="1"/>
    <col min="2051" max="2052" width="10.42578125" style="32" customWidth="1"/>
    <col min="2053" max="2054" width="11.7109375" style="32" customWidth="1"/>
    <col min="2055" max="2055" width="9.140625" style="32"/>
    <col min="2056" max="2056" width="3.140625" style="32" customWidth="1"/>
    <col min="2057" max="2057" width="3.7109375" style="32" customWidth="1"/>
    <col min="2058" max="2058" width="18.28515625" style="32" customWidth="1"/>
    <col min="2059" max="2059" width="11.7109375" style="32" customWidth="1"/>
    <col min="2060" max="2060" width="13" style="32" customWidth="1"/>
    <col min="2061" max="2061" width="11.140625" style="32" customWidth="1"/>
    <col min="2062" max="2304" width="9.140625" style="32"/>
    <col min="2305" max="2305" width="45.85546875" style="32" customWidth="1"/>
    <col min="2306" max="2306" width="10.85546875" style="32" customWidth="1"/>
    <col min="2307" max="2308" width="10.42578125" style="32" customWidth="1"/>
    <col min="2309" max="2310" width="11.7109375" style="32" customWidth="1"/>
    <col min="2311" max="2311" width="9.140625" style="32"/>
    <col min="2312" max="2312" width="3.140625" style="32" customWidth="1"/>
    <col min="2313" max="2313" width="3.7109375" style="32" customWidth="1"/>
    <col min="2314" max="2314" width="18.28515625" style="32" customWidth="1"/>
    <col min="2315" max="2315" width="11.7109375" style="32" customWidth="1"/>
    <col min="2316" max="2316" width="13" style="32" customWidth="1"/>
    <col min="2317" max="2317" width="11.140625" style="32" customWidth="1"/>
    <col min="2318" max="2560" width="9.140625" style="32"/>
    <col min="2561" max="2561" width="45.85546875" style="32" customWidth="1"/>
    <col min="2562" max="2562" width="10.85546875" style="32" customWidth="1"/>
    <col min="2563" max="2564" width="10.42578125" style="32" customWidth="1"/>
    <col min="2565" max="2566" width="11.7109375" style="32" customWidth="1"/>
    <col min="2567" max="2567" width="9.140625" style="32"/>
    <col min="2568" max="2568" width="3.140625" style="32" customWidth="1"/>
    <col min="2569" max="2569" width="3.7109375" style="32" customWidth="1"/>
    <col min="2570" max="2570" width="18.28515625" style="32" customWidth="1"/>
    <col min="2571" max="2571" width="11.7109375" style="32" customWidth="1"/>
    <col min="2572" max="2572" width="13" style="32" customWidth="1"/>
    <col min="2573" max="2573" width="11.140625" style="32" customWidth="1"/>
    <col min="2574" max="2816" width="9.140625" style="32"/>
    <col min="2817" max="2817" width="45.85546875" style="32" customWidth="1"/>
    <col min="2818" max="2818" width="10.85546875" style="32" customWidth="1"/>
    <col min="2819" max="2820" width="10.42578125" style="32" customWidth="1"/>
    <col min="2821" max="2822" width="11.7109375" style="32" customWidth="1"/>
    <col min="2823" max="2823" width="9.140625" style="32"/>
    <col min="2824" max="2824" width="3.140625" style="32" customWidth="1"/>
    <col min="2825" max="2825" width="3.7109375" style="32" customWidth="1"/>
    <col min="2826" max="2826" width="18.28515625" style="32" customWidth="1"/>
    <col min="2827" max="2827" width="11.7109375" style="32" customWidth="1"/>
    <col min="2828" max="2828" width="13" style="32" customWidth="1"/>
    <col min="2829" max="2829" width="11.140625" style="32" customWidth="1"/>
    <col min="2830" max="3072" width="9.140625" style="32"/>
    <col min="3073" max="3073" width="45.85546875" style="32" customWidth="1"/>
    <col min="3074" max="3074" width="10.85546875" style="32" customWidth="1"/>
    <col min="3075" max="3076" width="10.42578125" style="32" customWidth="1"/>
    <col min="3077" max="3078" width="11.7109375" style="32" customWidth="1"/>
    <col min="3079" max="3079" width="9.140625" style="32"/>
    <col min="3080" max="3080" width="3.140625" style="32" customWidth="1"/>
    <col min="3081" max="3081" width="3.7109375" style="32" customWidth="1"/>
    <col min="3082" max="3082" width="18.28515625" style="32" customWidth="1"/>
    <col min="3083" max="3083" width="11.7109375" style="32" customWidth="1"/>
    <col min="3084" max="3084" width="13" style="32" customWidth="1"/>
    <col min="3085" max="3085" width="11.140625" style="32" customWidth="1"/>
    <col min="3086" max="3328" width="9.140625" style="32"/>
    <col min="3329" max="3329" width="45.85546875" style="32" customWidth="1"/>
    <col min="3330" max="3330" width="10.85546875" style="32" customWidth="1"/>
    <col min="3331" max="3332" width="10.42578125" style="32" customWidth="1"/>
    <col min="3333" max="3334" width="11.7109375" style="32" customWidth="1"/>
    <col min="3335" max="3335" width="9.140625" style="32"/>
    <col min="3336" max="3336" width="3.140625" style="32" customWidth="1"/>
    <col min="3337" max="3337" width="3.7109375" style="32" customWidth="1"/>
    <col min="3338" max="3338" width="18.28515625" style="32" customWidth="1"/>
    <col min="3339" max="3339" width="11.7109375" style="32" customWidth="1"/>
    <col min="3340" max="3340" width="13" style="32" customWidth="1"/>
    <col min="3341" max="3341" width="11.140625" style="32" customWidth="1"/>
    <col min="3342" max="3584" width="9.140625" style="32"/>
    <col min="3585" max="3585" width="45.85546875" style="32" customWidth="1"/>
    <col min="3586" max="3586" width="10.85546875" style="32" customWidth="1"/>
    <col min="3587" max="3588" width="10.42578125" style="32" customWidth="1"/>
    <col min="3589" max="3590" width="11.7109375" style="32" customWidth="1"/>
    <col min="3591" max="3591" width="9.140625" style="32"/>
    <col min="3592" max="3592" width="3.140625" style="32" customWidth="1"/>
    <col min="3593" max="3593" width="3.7109375" style="32" customWidth="1"/>
    <col min="3594" max="3594" width="18.28515625" style="32" customWidth="1"/>
    <col min="3595" max="3595" width="11.7109375" style="32" customWidth="1"/>
    <col min="3596" max="3596" width="13" style="32" customWidth="1"/>
    <col min="3597" max="3597" width="11.140625" style="32" customWidth="1"/>
    <col min="3598" max="3840" width="9.140625" style="32"/>
    <col min="3841" max="3841" width="45.85546875" style="32" customWidth="1"/>
    <col min="3842" max="3842" width="10.85546875" style="32" customWidth="1"/>
    <col min="3843" max="3844" width="10.42578125" style="32" customWidth="1"/>
    <col min="3845" max="3846" width="11.7109375" style="32" customWidth="1"/>
    <col min="3847" max="3847" width="9.140625" style="32"/>
    <col min="3848" max="3848" width="3.140625" style="32" customWidth="1"/>
    <col min="3849" max="3849" width="3.7109375" style="32" customWidth="1"/>
    <col min="3850" max="3850" width="18.28515625" style="32" customWidth="1"/>
    <col min="3851" max="3851" width="11.7109375" style="32" customWidth="1"/>
    <col min="3852" max="3852" width="13" style="32" customWidth="1"/>
    <col min="3853" max="3853" width="11.140625" style="32" customWidth="1"/>
    <col min="3854" max="4096" width="9.140625" style="32"/>
    <col min="4097" max="4097" width="45.85546875" style="32" customWidth="1"/>
    <col min="4098" max="4098" width="10.85546875" style="32" customWidth="1"/>
    <col min="4099" max="4100" width="10.42578125" style="32" customWidth="1"/>
    <col min="4101" max="4102" width="11.7109375" style="32" customWidth="1"/>
    <col min="4103" max="4103" width="9.140625" style="32"/>
    <col min="4104" max="4104" width="3.140625" style="32" customWidth="1"/>
    <col min="4105" max="4105" width="3.7109375" style="32" customWidth="1"/>
    <col min="4106" max="4106" width="18.28515625" style="32" customWidth="1"/>
    <col min="4107" max="4107" width="11.7109375" style="32" customWidth="1"/>
    <col min="4108" max="4108" width="13" style="32" customWidth="1"/>
    <col min="4109" max="4109" width="11.140625" style="32" customWidth="1"/>
    <col min="4110" max="4352" width="9.140625" style="32"/>
    <col min="4353" max="4353" width="45.85546875" style="32" customWidth="1"/>
    <col min="4354" max="4354" width="10.85546875" style="32" customWidth="1"/>
    <col min="4355" max="4356" width="10.42578125" style="32" customWidth="1"/>
    <col min="4357" max="4358" width="11.7109375" style="32" customWidth="1"/>
    <col min="4359" max="4359" width="9.140625" style="32"/>
    <col min="4360" max="4360" width="3.140625" style="32" customWidth="1"/>
    <col min="4361" max="4361" width="3.7109375" style="32" customWidth="1"/>
    <col min="4362" max="4362" width="18.28515625" style="32" customWidth="1"/>
    <col min="4363" max="4363" width="11.7109375" style="32" customWidth="1"/>
    <col min="4364" max="4364" width="13" style="32" customWidth="1"/>
    <col min="4365" max="4365" width="11.140625" style="32" customWidth="1"/>
    <col min="4366" max="4608" width="9.140625" style="32"/>
    <col min="4609" max="4609" width="45.85546875" style="32" customWidth="1"/>
    <col min="4610" max="4610" width="10.85546875" style="32" customWidth="1"/>
    <col min="4611" max="4612" width="10.42578125" style="32" customWidth="1"/>
    <col min="4613" max="4614" width="11.7109375" style="32" customWidth="1"/>
    <col min="4615" max="4615" width="9.140625" style="32"/>
    <col min="4616" max="4616" width="3.140625" style="32" customWidth="1"/>
    <col min="4617" max="4617" width="3.7109375" style="32" customWidth="1"/>
    <col min="4618" max="4618" width="18.28515625" style="32" customWidth="1"/>
    <col min="4619" max="4619" width="11.7109375" style="32" customWidth="1"/>
    <col min="4620" max="4620" width="13" style="32" customWidth="1"/>
    <col min="4621" max="4621" width="11.140625" style="32" customWidth="1"/>
    <col min="4622" max="4864" width="9.140625" style="32"/>
    <col min="4865" max="4865" width="45.85546875" style="32" customWidth="1"/>
    <col min="4866" max="4866" width="10.85546875" style="32" customWidth="1"/>
    <col min="4867" max="4868" width="10.42578125" style="32" customWidth="1"/>
    <col min="4869" max="4870" width="11.7109375" style="32" customWidth="1"/>
    <col min="4871" max="4871" width="9.140625" style="32"/>
    <col min="4872" max="4872" width="3.140625" style="32" customWidth="1"/>
    <col min="4873" max="4873" width="3.7109375" style="32" customWidth="1"/>
    <col min="4874" max="4874" width="18.28515625" style="32" customWidth="1"/>
    <col min="4875" max="4875" width="11.7109375" style="32" customWidth="1"/>
    <col min="4876" max="4876" width="13" style="32" customWidth="1"/>
    <col min="4877" max="4877" width="11.140625" style="32" customWidth="1"/>
    <col min="4878" max="5120" width="9.140625" style="32"/>
    <col min="5121" max="5121" width="45.85546875" style="32" customWidth="1"/>
    <col min="5122" max="5122" width="10.85546875" style="32" customWidth="1"/>
    <col min="5123" max="5124" width="10.42578125" style="32" customWidth="1"/>
    <col min="5125" max="5126" width="11.7109375" style="32" customWidth="1"/>
    <col min="5127" max="5127" width="9.140625" style="32"/>
    <col min="5128" max="5128" width="3.140625" style="32" customWidth="1"/>
    <col min="5129" max="5129" width="3.7109375" style="32" customWidth="1"/>
    <col min="5130" max="5130" width="18.28515625" style="32" customWidth="1"/>
    <col min="5131" max="5131" width="11.7109375" style="32" customWidth="1"/>
    <col min="5132" max="5132" width="13" style="32" customWidth="1"/>
    <col min="5133" max="5133" width="11.140625" style="32" customWidth="1"/>
    <col min="5134" max="5376" width="9.140625" style="32"/>
    <col min="5377" max="5377" width="45.85546875" style="32" customWidth="1"/>
    <col min="5378" max="5378" width="10.85546875" style="32" customWidth="1"/>
    <col min="5379" max="5380" width="10.42578125" style="32" customWidth="1"/>
    <col min="5381" max="5382" width="11.7109375" style="32" customWidth="1"/>
    <col min="5383" max="5383" width="9.140625" style="32"/>
    <col min="5384" max="5384" width="3.140625" style="32" customWidth="1"/>
    <col min="5385" max="5385" width="3.7109375" style="32" customWidth="1"/>
    <col min="5386" max="5386" width="18.28515625" style="32" customWidth="1"/>
    <col min="5387" max="5387" width="11.7109375" style="32" customWidth="1"/>
    <col min="5388" max="5388" width="13" style="32" customWidth="1"/>
    <col min="5389" max="5389" width="11.140625" style="32" customWidth="1"/>
    <col min="5390" max="5632" width="9.140625" style="32"/>
    <col min="5633" max="5633" width="45.85546875" style="32" customWidth="1"/>
    <col min="5634" max="5634" width="10.85546875" style="32" customWidth="1"/>
    <col min="5635" max="5636" width="10.42578125" style="32" customWidth="1"/>
    <col min="5637" max="5638" width="11.7109375" style="32" customWidth="1"/>
    <col min="5639" max="5639" width="9.140625" style="32"/>
    <col min="5640" max="5640" width="3.140625" style="32" customWidth="1"/>
    <col min="5641" max="5641" width="3.7109375" style="32" customWidth="1"/>
    <col min="5642" max="5642" width="18.28515625" style="32" customWidth="1"/>
    <col min="5643" max="5643" width="11.7109375" style="32" customWidth="1"/>
    <col min="5644" max="5644" width="13" style="32" customWidth="1"/>
    <col min="5645" max="5645" width="11.140625" style="32" customWidth="1"/>
    <col min="5646" max="5888" width="9.140625" style="32"/>
    <col min="5889" max="5889" width="45.85546875" style="32" customWidth="1"/>
    <col min="5890" max="5890" width="10.85546875" style="32" customWidth="1"/>
    <col min="5891" max="5892" width="10.42578125" style="32" customWidth="1"/>
    <col min="5893" max="5894" width="11.7109375" style="32" customWidth="1"/>
    <col min="5895" max="5895" width="9.140625" style="32"/>
    <col min="5896" max="5896" width="3.140625" style="32" customWidth="1"/>
    <col min="5897" max="5897" width="3.7109375" style="32" customWidth="1"/>
    <col min="5898" max="5898" width="18.28515625" style="32" customWidth="1"/>
    <col min="5899" max="5899" width="11.7109375" style="32" customWidth="1"/>
    <col min="5900" max="5900" width="13" style="32" customWidth="1"/>
    <col min="5901" max="5901" width="11.140625" style="32" customWidth="1"/>
    <col min="5902" max="6144" width="9.140625" style="32"/>
    <col min="6145" max="6145" width="45.85546875" style="32" customWidth="1"/>
    <col min="6146" max="6146" width="10.85546875" style="32" customWidth="1"/>
    <col min="6147" max="6148" width="10.42578125" style="32" customWidth="1"/>
    <col min="6149" max="6150" width="11.7109375" style="32" customWidth="1"/>
    <col min="6151" max="6151" width="9.140625" style="32"/>
    <col min="6152" max="6152" width="3.140625" style="32" customWidth="1"/>
    <col min="6153" max="6153" width="3.7109375" style="32" customWidth="1"/>
    <col min="6154" max="6154" width="18.28515625" style="32" customWidth="1"/>
    <col min="6155" max="6155" width="11.7109375" style="32" customWidth="1"/>
    <col min="6156" max="6156" width="13" style="32" customWidth="1"/>
    <col min="6157" max="6157" width="11.140625" style="32" customWidth="1"/>
    <col min="6158" max="6400" width="9.140625" style="32"/>
    <col min="6401" max="6401" width="45.85546875" style="32" customWidth="1"/>
    <col min="6402" max="6402" width="10.85546875" style="32" customWidth="1"/>
    <col min="6403" max="6404" width="10.42578125" style="32" customWidth="1"/>
    <col min="6405" max="6406" width="11.7109375" style="32" customWidth="1"/>
    <col min="6407" max="6407" width="9.140625" style="32"/>
    <col min="6408" max="6408" width="3.140625" style="32" customWidth="1"/>
    <col min="6409" max="6409" width="3.7109375" style="32" customWidth="1"/>
    <col min="6410" max="6410" width="18.28515625" style="32" customWidth="1"/>
    <col min="6411" max="6411" width="11.7109375" style="32" customWidth="1"/>
    <col min="6412" max="6412" width="13" style="32" customWidth="1"/>
    <col min="6413" max="6413" width="11.140625" style="32" customWidth="1"/>
    <col min="6414" max="6656" width="9.140625" style="32"/>
    <col min="6657" max="6657" width="45.85546875" style="32" customWidth="1"/>
    <col min="6658" max="6658" width="10.85546875" style="32" customWidth="1"/>
    <col min="6659" max="6660" width="10.42578125" style="32" customWidth="1"/>
    <col min="6661" max="6662" width="11.7109375" style="32" customWidth="1"/>
    <col min="6663" max="6663" width="9.140625" style="32"/>
    <col min="6664" max="6664" width="3.140625" style="32" customWidth="1"/>
    <col min="6665" max="6665" width="3.7109375" style="32" customWidth="1"/>
    <col min="6666" max="6666" width="18.28515625" style="32" customWidth="1"/>
    <col min="6667" max="6667" width="11.7109375" style="32" customWidth="1"/>
    <col min="6668" max="6668" width="13" style="32" customWidth="1"/>
    <col min="6669" max="6669" width="11.140625" style="32" customWidth="1"/>
    <col min="6670" max="6912" width="9.140625" style="32"/>
    <col min="6913" max="6913" width="45.85546875" style="32" customWidth="1"/>
    <col min="6914" max="6914" width="10.85546875" style="32" customWidth="1"/>
    <col min="6915" max="6916" width="10.42578125" style="32" customWidth="1"/>
    <col min="6917" max="6918" width="11.7109375" style="32" customWidth="1"/>
    <col min="6919" max="6919" width="9.140625" style="32"/>
    <col min="6920" max="6920" width="3.140625" style="32" customWidth="1"/>
    <col min="6921" max="6921" width="3.7109375" style="32" customWidth="1"/>
    <col min="6922" max="6922" width="18.28515625" style="32" customWidth="1"/>
    <col min="6923" max="6923" width="11.7109375" style="32" customWidth="1"/>
    <col min="6924" max="6924" width="13" style="32" customWidth="1"/>
    <col min="6925" max="6925" width="11.140625" style="32" customWidth="1"/>
    <col min="6926" max="7168" width="9.140625" style="32"/>
    <col min="7169" max="7169" width="45.85546875" style="32" customWidth="1"/>
    <col min="7170" max="7170" width="10.85546875" style="32" customWidth="1"/>
    <col min="7171" max="7172" width="10.42578125" style="32" customWidth="1"/>
    <col min="7173" max="7174" width="11.7109375" style="32" customWidth="1"/>
    <col min="7175" max="7175" width="9.140625" style="32"/>
    <col min="7176" max="7176" width="3.140625" style="32" customWidth="1"/>
    <col min="7177" max="7177" width="3.7109375" style="32" customWidth="1"/>
    <col min="7178" max="7178" width="18.28515625" style="32" customWidth="1"/>
    <col min="7179" max="7179" width="11.7109375" style="32" customWidth="1"/>
    <col min="7180" max="7180" width="13" style="32" customWidth="1"/>
    <col min="7181" max="7181" width="11.140625" style="32" customWidth="1"/>
    <col min="7182" max="7424" width="9.140625" style="32"/>
    <col min="7425" max="7425" width="45.85546875" style="32" customWidth="1"/>
    <col min="7426" max="7426" width="10.85546875" style="32" customWidth="1"/>
    <col min="7427" max="7428" width="10.42578125" style="32" customWidth="1"/>
    <col min="7429" max="7430" width="11.7109375" style="32" customWidth="1"/>
    <col min="7431" max="7431" width="9.140625" style="32"/>
    <col min="7432" max="7432" width="3.140625" style="32" customWidth="1"/>
    <col min="7433" max="7433" width="3.7109375" style="32" customWidth="1"/>
    <col min="7434" max="7434" width="18.28515625" style="32" customWidth="1"/>
    <col min="7435" max="7435" width="11.7109375" style="32" customWidth="1"/>
    <col min="7436" max="7436" width="13" style="32" customWidth="1"/>
    <col min="7437" max="7437" width="11.140625" style="32" customWidth="1"/>
    <col min="7438" max="7680" width="9.140625" style="32"/>
    <col min="7681" max="7681" width="45.85546875" style="32" customWidth="1"/>
    <col min="7682" max="7682" width="10.85546875" style="32" customWidth="1"/>
    <col min="7683" max="7684" width="10.42578125" style="32" customWidth="1"/>
    <col min="7685" max="7686" width="11.7109375" style="32" customWidth="1"/>
    <col min="7687" max="7687" width="9.140625" style="32"/>
    <col min="7688" max="7688" width="3.140625" style="32" customWidth="1"/>
    <col min="7689" max="7689" width="3.7109375" style="32" customWidth="1"/>
    <col min="7690" max="7690" width="18.28515625" style="32" customWidth="1"/>
    <col min="7691" max="7691" width="11.7109375" style="32" customWidth="1"/>
    <col min="7692" max="7692" width="13" style="32" customWidth="1"/>
    <col min="7693" max="7693" width="11.140625" style="32" customWidth="1"/>
    <col min="7694" max="7936" width="9.140625" style="32"/>
    <col min="7937" max="7937" width="45.85546875" style="32" customWidth="1"/>
    <col min="7938" max="7938" width="10.85546875" style="32" customWidth="1"/>
    <col min="7939" max="7940" width="10.42578125" style="32" customWidth="1"/>
    <col min="7941" max="7942" width="11.7109375" style="32" customWidth="1"/>
    <col min="7943" max="7943" width="9.140625" style="32"/>
    <col min="7944" max="7944" width="3.140625" style="32" customWidth="1"/>
    <col min="7945" max="7945" width="3.7109375" style="32" customWidth="1"/>
    <col min="7946" max="7946" width="18.28515625" style="32" customWidth="1"/>
    <col min="7947" max="7947" width="11.7109375" style="32" customWidth="1"/>
    <col min="7948" max="7948" width="13" style="32" customWidth="1"/>
    <col min="7949" max="7949" width="11.140625" style="32" customWidth="1"/>
    <col min="7950" max="8192" width="9.140625" style="32"/>
    <col min="8193" max="8193" width="45.85546875" style="32" customWidth="1"/>
    <col min="8194" max="8194" width="10.85546875" style="32" customWidth="1"/>
    <col min="8195" max="8196" width="10.42578125" style="32" customWidth="1"/>
    <col min="8197" max="8198" width="11.7109375" style="32" customWidth="1"/>
    <col min="8199" max="8199" width="9.140625" style="32"/>
    <col min="8200" max="8200" width="3.140625" style="32" customWidth="1"/>
    <col min="8201" max="8201" width="3.7109375" style="32" customWidth="1"/>
    <col min="8202" max="8202" width="18.28515625" style="32" customWidth="1"/>
    <col min="8203" max="8203" width="11.7109375" style="32" customWidth="1"/>
    <col min="8204" max="8204" width="13" style="32" customWidth="1"/>
    <col min="8205" max="8205" width="11.140625" style="32" customWidth="1"/>
    <col min="8206" max="8448" width="9.140625" style="32"/>
    <col min="8449" max="8449" width="45.85546875" style="32" customWidth="1"/>
    <col min="8450" max="8450" width="10.85546875" style="32" customWidth="1"/>
    <col min="8451" max="8452" width="10.42578125" style="32" customWidth="1"/>
    <col min="8453" max="8454" width="11.7109375" style="32" customWidth="1"/>
    <col min="8455" max="8455" width="9.140625" style="32"/>
    <col min="8456" max="8456" width="3.140625" style="32" customWidth="1"/>
    <col min="8457" max="8457" width="3.7109375" style="32" customWidth="1"/>
    <col min="8458" max="8458" width="18.28515625" style="32" customWidth="1"/>
    <col min="8459" max="8459" width="11.7109375" style="32" customWidth="1"/>
    <col min="8460" max="8460" width="13" style="32" customWidth="1"/>
    <col min="8461" max="8461" width="11.140625" style="32" customWidth="1"/>
    <col min="8462" max="8704" width="9.140625" style="32"/>
    <col min="8705" max="8705" width="45.85546875" style="32" customWidth="1"/>
    <col min="8706" max="8706" width="10.85546875" style="32" customWidth="1"/>
    <col min="8707" max="8708" width="10.42578125" style="32" customWidth="1"/>
    <col min="8709" max="8710" width="11.7109375" style="32" customWidth="1"/>
    <col min="8711" max="8711" width="9.140625" style="32"/>
    <col min="8712" max="8712" width="3.140625" style="32" customWidth="1"/>
    <col min="8713" max="8713" width="3.7109375" style="32" customWidth="1"/>
    <col min="8714" max="8714" width="18.28515625" style="32" customWidth="1"/>
    <col min="8715" max="8715" width="11.7109375" style="32" customWidth="1"/>
    <col min="8716" max="8716" width="13" style="32" customWidth="1"/>
    <col min="8717" max="8717" width="11.140625" style="32" customWidth="1"/>
    <col min="8718" max="8960" width="9.140625" style="32"/>
    <col min="8961" max="8961" width="45.85546875" style="32" customWidth="1"/>
    <col min="8962" max="8962" width="10.85546875" style="32" customWidth="1"/>
    <col min="8963" max="8964" width="10.42578125" style="32" customWidth="1"/>
    <col min="8965" max="8966" width="11.7109375" style="32" customWidth="1"/>
    <col min="8967" max="8967" width="9.140625" style="32"/>
    <col min="8968" max="8968" width="3.140625" style="32" customWidth="1"/>
    <col min="8969" max="8969" width="3.7109375" style="32" customWidth="1"/>
    <col min="8970" max="8970" width="18.28515625" style="32" customWidth="1"/>
    <col min="8971" max="8971" width="11.7109375" style="32" customWidth="1"/>
    <col min="8972" max="8972" width="13" style="32" customWidth="1"/>
    <col min="8973" max="8973" width="11.140625" style="32" customWidth="1"/>
    <col min="8974" max="9216" width="9.140625" style="32"/>
    <col min="9217" max="9217" width="45.85546875" style="32" customWidth="1"/>
    <col min="9218" max="9218" width="10.85546875" style="32" customWidth="1"/>
    <col min="9219" max="9220" width="10.42578125" style="32" customWidth="1"/>
    <col min="9221" max="9222" width="11.7109375" style="32" customWidth="1"/>
    <col min="9223" max="9223" width="9.140625" style="32"/>
    <col min="9224" max="9224" width="3.140625" style="32" customWidth="1"/>
    <col min="9225" max="9225" width="3.7109375" style="32" customWidth="1"/>
    <col min="9226" max="9226" width="18.28515625" style="32" customWidth="1"/>
    <col min="9227" max="9227" width="11.7109375" style="32" customWidth="1"/>
    <col min="9228" max="9228" width="13" style="32" customWidth="1"/>
    <col min="9229" max="9229" width="11.140625" style="32" customWidth="1"/>
    <col min="9230" max="9472" width="9.140625" style="32"/>
    <col min="9473" max="9473" width="45.85546875" style="32" customWidth="1"/>
    <col min="9474" max="9474" width="10.85546875" style="32" customWidth="1"/>
    <col min="9475" max="9476" width="10.42578125" style="32" customWidth="1"/>
    <col min="9477" max="9478" width="11.7109375" style="32" customWidth="1"/>
    <col min="9479" max="9479" width="9.140625" style="32"/>
    <col min="9480" max="9480" width="3.140625" style="32" customWidth="1"/>
    <col min="9481" max="9481" width="3.7109375" style="32" customWidth="1"/>
    <col min="9482" max="9482" width="18.28515625" style="32" customWidth="1"/>
    <col min="9483" max="9483" width="11.7109375" style="32" customWidth="1"/>
    <col min="9484" max="9484" width="13" style="32" customWidth="1"/>
    <col min="9485" max="9485" width="11.140625" style="32" customWidth="1"/>
    <col min="9486" max="9728" width="9.140625" style="32"/>
    <col min="9729" max="9729" width="45.85546875" style="32" customWidth="1"/>
    <col min="9730" max="9730" width="10.85546875" style="32" customWidth="1"/>
    <col min="9731" max="9732" width="10.42578125" style="32" customWidth="1"/>
    <col min="9733" max="9734" width="11.7109375" style="32" customWidth="1"/>
    <col min="9735" max="9735" width="9.140625" style="32"/>
    <col min="9736" max="9736" width="3.140625" style="32" customWidth="1"/>
    <col min="9737" max="9737" width="3.7109375" style="32" customWidth="1"/>
    <col min="9738" max="9738" width="18.28515625" style="32" customWidth="1"/>
    <col min="9739" max="9739" width="11.7109375" style="32" customWidth="1"/>
    <col min="9740" max="9740" width="13" style="32" customWidth="1"/>
    <col min="9741" max="9741" width="11.140625" style="32" customWidth="1"/>
    <col min="9742" max="9984" width="9.140625" style="32"/>
    <col min="9985" max="9985" width="45.85546875" style="32" customWidth="1"/>
    <col min="9986" max="9986" width="10.85546875" style="32" customWidth="1"/>
    <col min="9987" max="9988" width="10.42578125" style="32" customWidth="1"/>
    <col min="9989" max="9990" width="11.7109375" style="32" customWidth="1"/>
    <col min="9991" max="9991" width="9.140625" style="32"/>
    <col min="9992" max="9992" width="3.140625" style="32" customWidth="1"/>
    <col min="9993" max="9993" width="3.7109375" style="32" customWidth="1"/>
    <col min="9994" max="9994" width="18.28515625" style="32" customWidth="1"/>
    <col min="9995" max="9995" width="11.7109375" style="32" customWidth="1"/>
    <col min="9996" max="9996" width="13" style="32" customWidth="1"/>
    <col min="9997" max="9997" width="11.140625" style="32" customWidth="1"/>
    <col min="9998" max="10240" width="9.140625" style="32"/>
    <col min="10241" max="10241" width="45.85546875" style="32" customWidth="1"/>
    <col min="10242" max="10242" width="10.85546875" style="32" customWidth="1"/>
    <col min="10243" max="10244" width="10.42578125" style="32" customWidth="1"/>
    <col min="10245" max="10246" width="11.7109375" style="32" customWidth="1"/>
    <col min="10247" max="10247" width="9.140625" style="32"/>
    <col min="10248" max="10248" width="3.140625" style="32" customWidth="1"/>
    <col min="10249" max="10249" width="3.7109375" style="32" customWidth="1"/>
    <col min="10250" max="10250" width="18.28515625" style="32" customWidth="1"/>
    <col min="10251" max="10251" width="11.7109375" style="32" customWidth="1"/>
    <col min="10252" max="10252" width="13" style="32" customWidth="1"/>
    <col min="10253" max="10253" width="11.140625" style="32" customWidth="1"/>
    <col min="10254" max="10496" width="9.140625" style="32"/>
    <col min="10497" max="10497" width="45.85546875" style="32" customWidth="1"/>
    <col min="10498" max="10498" width="10.85546875" style="32" customWidth="1"/>
    <col min="10499" max="10500" width="10.42578125" style="32" customWidth="1"/>
    <col min="10501" max="10502" width="11.7109375" style="32" customWidth="1"/>
    <col min="10503" max="10503" width="9.140625" style="32"/>
    <col min="10504" max="10504" width="3.140625" style="32" customWidth="1"/>
    <col min="10505" max="10505" width="3.7109375" style="32" customWidth="1"/>
    <col min="10506" max="10506" width="18.28515625" style="32" customWidth="1"/>
    <col min="10507" max="10507" width="11.7109375" style="32" customWidth="1"/>
    <col min="10508" max="10508" width="13" style="32" customWidth="1"/>
    <col min="10509" max="10509" width="11.140625" style="32" customWidth="1"/>
    <col min="10510" max="10752" width="9.140625" style="32"/>
    <col min="10753" max="10753" width="45.85546875" style="32" customWidth="1"/>
    <col min="10754" max="10754" width="10.85546875" style="32" customWidth="1"/>
    <col min="10755" max="10756" width="10.42578125" style="32" customWidth="1"/>
    <col min="10757" max="10758" width="11.7109375" style="32" customWidth="1"/>
    <col min="10759" max="10759" width="9.140625" style="32"/>
    <col min="10760" max="10760" width="3.140625" style="32" customWidth="1"/>
    <col min="10761" max="10761" width="3.7109375" style="32" customWidth="1"/>
    <col min="10762" max="10762" width="18.28515625" style="32" customWidth="1"/>
    <col min="10763" max="10763" width="11.7109375" style="32" customWidth="1"/>
    <col min="10764" max="10764" width="13" style="32" customWidth="1"/>
    <col min="10765" max="10765" width="11.140625" style="32" customWidth="1"/>
    <col min="10766" max="11008" width="9.140625" style="32"/>
    <col min="11009" max="11009" width="45.85546875" style="32" customWidth="1"/>
    <col min="11010" max="11010" width="10.85546875" style="32" customWidth="1"/>
    <col min="11011" max="11012" width="10.42578125" style="32" customWidth="1"/>
    <col min="11013" max="11014" width="11.7109375" style="32" customWidth="1"/>
    <col min="11015" max="11015" width="9.140625" style="32"/>
    <col min="11016" max="11016" width="3.140625" style="32" customWidth="1"/>
    <col min="11017" max="11017" width="3.7109375" style="32" customWidth="1"/>
    <col min="11018" max="11018" width="18.28515625" style="32" customWidth="1"/>
    <col min="11019" max="11019" width="11.7109375" style="32" customWidth="1"/>
    <col min="11020" max="11020" width="13" style="32" customWidth="1"/>
    <col min="11021" max="11021" width="11.140625" style="32" customWidth="1"/>
    <col min="11022" max="11264" width="9.140625" style="32"/>
    <col min="11265" max="11265" width="45.85546875" style="32" customWidth="1"/>
    <col min="11266" max="11266" width="10.85546875" style="32" customWidth="1"/>
    <col min="11267" max="11268" width="10.42578125" style="32" customWidth="1"/>
    <col min="11269" max="11270" width="11.7109375" style="32" customWidth="1"/>
    <col min="11271" max="11271" width="9.140625" style="32"/>
    <col min="11272" max="11272" width="3.140625" style="32" customWidth="1"/>
    <col min="11273" max="11273" width="3.7109375" style="32" customWidth="1"/>
    <col min="11274" max="11274" width="18.28515625" style="32" customWidth="1"/>
    <col min="11275" max="11275" width="11.7109375" style="32" customWidth="1"/>
    <col min="11276" max="11276" width="13" style="32" customWidth="1"/>
    <col min="11277" max="11277" width="11.140625" style="32" customWidth="1"/>
    <col min="11278" max="11520" width="9.140625" style="32"/>
    <col min="11521" max="11521" width="45.85546875" style="32" customWidth="1"/>
    <col min="11522" max="11522" width="10.85546875" style="32" customWidth="1"/>
    <col min="11523" max="11524" width="10.42578125" style="32" customWidth="1"/>
    <col min="11525" max="11526" width="11.7109375" style="32" customWidth="1"/>
    <col min="11527" max="11527" width="9.140625" style="32"/>
    <col min="11528" max="11528" width="3.140625" style="32" customWidth="1"/>
    <col min="11529" max="11529" width="3.7109375" style="32" customWidth="1"/>
    <col min="11530" max="11530" width="18.28515625" style="32" customWidth="1"/>
    <col min="11531" max="11531" width="11.7109375" style="32" customWidth="1"/>
    <col min="11532" max="11532" width="13" style="32" customWidth="1"/>
    <col min="11533" max="11533" width="11.140625" style="32" customWidth="1"/>
    <col min="11534" max="11776" width="9.140625" style="32"/>
    <col min="11777" max="11777" width="45.85546875" style="32" customWidth="1"/>
    <col min="11778" max="11778" width="10.85546875" style="32" customWidth="1"/>
    <col min="11779" max="11780" width="10.42578125" style="32" customWidth="1"/>
    <col min="11781" max="11782" width="11.7109375" style="32" customWidth="1"/>
    <col min="11783" max="11783" width="9.140625" style="32"/>
    <col min="11784" max="11784" width="3.140625" style="32" customWidth="1"/>
    <col min="11785" max="11785" width="3.7109375" style="32" customWidth="1"/>
    <col min="11786" max="11786" width="18.28515625" style="32" customWidth="1"/>
    <col min="11787" max="11787" width="11.7109375" style="32" customWidth="1"/>
    <col min="11788" max="11788" width="13" style="32" customWidth="1"/>
    <col min="11789" max="11789" width="11.140625" style="32" customWidth="1"/>
    <col min="11790" max="12032" width="9.140625" style="32"/>
    <col min="12033" max="12033" width="45.85546875" style="32" customWidth="1"/>
    <col min="12034" max="12034" width="10.85546875" style="32" customWidth="1"/>
    <col min="12035" max="12036" width="10.42578125" style="32" customWidth="1"/>
    <col min="12037" max="12038" width="11.7109375" style="32" customWidth="1"/>
    <col min="12039" max="12039" width="9.140625" style="32"/>
    <col min="12040" max="12040" width="3.140625" style="32" customWidth="1"/>
    <col min="12041" max="12041" width="3.7109375" style="32" customWidth="1"/>
    <col min="12042" max="12042" width="18.28515625" style="32" customWidth="1"/>
    <col min="12043" max="12043" width="11.7109375" style="32" customWidth="1"/>
    <col min="12044" max="12044" width="13" style="32" customWidth="1"/>
    <col min="12045" max="12045" width="11.140625" style="32" customWidth="1"/>
    <col min="12046" max="12288" width="9.140625" style="32"/>
    <col min="12289" max="12289" width="45.85546875" style="32" customWidth="1"/>
    <col min="12290" max="12290" width="10.85546875" style="32" customWidth="1"/>
    <col min="12291" max="12292" width="10.42578125" style="32" customWidth="1"/>
    <col min="12293" max="12294" width="11.7109375" style="32" customWidth="1"/>
    <col min="12295" max="12295" width="9.140625" style="32"/>
    <col min="12296" max="12296" width="3.140625" style="32" customWidth="1"/>
    <col min="12297" max="12297" width="3.7109375" style="32" customWidth="1"/>
    <col min="12298" max="12298" width="18.28515625" style="32" customWidth="1"/>
    <col min="12299" max="12299" width="11.7109375" style="32" customWidth="1"/>
    <col min="12300" max="12300" width="13" style="32" customWidth="1"/>
    <col min="12301" max="12301" width="11.140625" style="32" customWidth="1"/>
    <col min="12302" max="12544" width="9.140625" style="32"/>
    <col min="12545" max="12545" width="45.85546875" style="32" customWidth="1"/>
    <col min="12546" max="12546" width="10.85546875" style="32" customWidth="1"/>
    <col min="12547" max="12548" width="10.42578125" style="32" customWidth="1"/>
    <col min="12549" max="12550" width="11.7109375" style="32" customWidth="1"/>
    <col min="12551" max="12551" width="9.140625" style="32"/>
    <col min="12552" max="12552" width="3.140625" style="32" customWidth="1"/>
    <col min="12553" max="12553" width="3.7109375" style="32" customWidth="1"/>
    <col min="12554" max="12554" width="18.28515625" style="32" customWidth="1"/>
    <col min="12555" max="12555" width="11.7109375" style="32" customWidth="1"/>
    <col min="12556" max="12556" width="13" style="32" customWidth="1"/>
    <col min="12557" max="12557" width="11.140625" style="32" customWidth="1"/>
    <col min="12558" max="12800" width="9.140625" style="32"/>
    <col min="12801" max="12801" width="45.85546875" style="32" customWidth="1"/>
    <col min="12802" max="12802" width="10.85546875" style="32" customWidth="1"/>
    <col min="12803" max="12804" width="10.42578125" style="32" customWidth="1"/>
    <col min="12805" max="12806" width="11.7109375" style="32" customWidth="1"/>
    <col min="12807" max="12807" width="9.140625" style="32"/>
    <col min="12808" max="12808" width="3.140625" style="32" customWidth="1"/>
    <col min="12809" max="12809" width="3.7109375" style="32" customWidth="1"/>
    <col min="12810" max="12810" width="18.28515625" style="32" customWidth="1"/>
    <col min="12811" max="12811" width="11.7109375" style="32" customWidth="1"/>
    <col min="12812" max="12812" width="13" style="32" customWidth="1"/>
    <col min="12813" max="12813" width="11.140625" style="32" customWidth="1"/>
    <col min="12814" max="13056" width="9.140625" style="32"/>
    <col min="13057" max="13057" width="45.85546875" style="32" customWidth="1"/>
    <col min="13058" max="13058" width="10.85546875" style="32" customWidth="1"/>
    <col min="13059" max="13060" width="10.42578125" style="32" customWidth="1"/>
    <col min="13061" max="13062" width="11.7109375" style="32" customWidth="1"/>
    <col min="13063" max="13063" width="9.140625" style="32"/>
    <col min="13064" max="13064" width="3.140625" style="32" customWidth="1"/>
    <col min="13065" max="13065" width="3.7109375" style="32" customWidth="1"/>
    <col min="13066" max="13066" width="18.28515625" style="32" customWidth="1"/>
    <col min="13067" max="13067" width="11.7109375" style="32" customWidth="1"/>
    <col min="13068" max="13068" width="13" style="32" customWidth="1"/>
    <col min="13069" max="13069" width="11.140625" style="32" customWidth="1"/>
    <col min="13070" max="13312" width="9.140625" style="32"/>
    <col min="13313" max="13313" width="45.85546875" style="32" customWidth="1"/>
    <col min="13314" max="13314" width="10.85546875" style="32" customWidth="1"/>
    <col min="13315" max="13316" width="10.42578125" style="32" customWidth="1"/>
    <col min="13317" max="13318" width="11.7109375" style="32" customWidth="1"/>
    <col min="13319" max="13319" width="9.140625" style="32"/>
    <col min="13320" max="13320" width="3.140625" style="32" customWidth="1"/>
    <col min="13321" max="13321" width="3.7109375" style="32" customWidth="1"/>
    <col min="13322" max="13322" width="18.28515625" style="32" customWidth="1"/>
    <col min="13323" max="13323" width="11.7109375" style="32" customWidth="1"/>
    <col min="13324" max="13324" width="13" style="32" customWidth="1"/>
    <col min="13325" max="13325" width="11.140625" style="32" customWidth="1"/>
    <col min="13326" max="13568" width="9.140625" style="32"/>
    <col min="13569" max="13569" width="45.85546875" style="32" customWidth="1"/>
    <col min="13570" max="13570" width="10.85546875" style="32" customWidth="1"/>
    <col min="13571" max="13572" width="10.42578125" style="32" customWidth="1"/>
    <col min="13573" max="13574" width="11.7109375" style="32" customWidth="1"/>
    <col min="13575" max="13575" width="9.140625" style="32"/>
    <col min="13576" max="13576" width="3.140625" style="32" customWidth="1"/>
    <col min="13577" max="13577" width="3.7109375" style="32" customWidth="1"/>
    <col min="13578" max="13578" width="18.28515625" style="32" customWidth="1"/>
    <col min="13579" max="13579" width="11.7109375" style="32" customWidth="1"/>
    <col min="13580" max="13580" width="13" style="32" customWidth="1"/>
    <col min="13581" max="13581" width="11.140625" style="32" customWidth="1"/>
    <col min="13582" max="13824" width="9.140625" style="32"/>
    <col min="13825" max="13825" width="45.85546875" style="32" customWidth="1"/>
    <col min="13826" max="13826" width="10.85546875" style="32" customWidth="1"/>
    <col min="13827" max="13828" width="10.42578125" style="32" customWidth="1"/>
    <col min="13829" max="13830" width="11.7109375" style="32" customWidth="1"/>
    <col min="13831" max="13831" width="9.140625" style="32"/>
    <col min="13832" max="13832" width="3.140625" style="32" customWidth="1"/>
    <col min="13833" max="13833" width="3.7109375" style="32" customWidth="1"/>
    <col min="13834" max="13834" width="18.28515625" style="32" customWidth="1"/>
    <col min="13835" max="13835" width="11.7109375" style="32" customWidth="1"/>
    <col min="13836" max="13836" width="13" style="32" customWidth="1"/>
    <col min="13837" max="13837" width="11.140625" style="32" customWidth="1"/>
    <col min="13838" max="14080" width="9.140625" style="32"/>
    <col min="14081" max="14081" width="45.85546875" style="32" customWidth="1"/>
    <col min="14082" max="14082" width="10.85546875" style="32" customWidth="1"/>
    <col min="14083" max="14084" width="10.42578125" style="32" customWidth="1"/>
    <col min="14085" max="14086" width="11.7109375" style="32" customWidth="1"/>
    <col min="14087" max="14087" width="9.140625" style="32"/>
    <col min="14088" max="14088" width="3.140625" style="32" customWidth="1"/>
    <col min="14089" max="14089" width="3.7109375" style="32" customWidth="1"/>
    <col min="14090" max="14090" width="18.28515625" style="32" customWidth="1"/>
    <col min="14091" max="14091" width="11.7109375" style="32" customWidth="1"/>
    <col min="14092" max="14092" width="13" style="32" customWidth="1"/>
    <col min="14093" max="14093" width="11.140625" style="32" customWidth="1"/>
    <col min="14094" max="14336" width="9.140625" style="32"/>
    <col min="14337" max="14337" width="45.85546875" style="32" customWidth="1"/>
    <col min="14338" max="14338" width="10.85546875" style="32" customWidth="1"/>
    <col min="14339" max="14340" width="10.42578125" style="32" customWidth="1"/>
    <col min="14341" max="14342" width="11.7109375" style="32" customWidth="1"/>
    <col min="14343" max="14343" width="9.140625" style="32"/>
    <col min="14344" max="14344" width="3.140625" style="32" customWidth="1"/>
    <col min="14345" max="14345" width="3.7109375" style="32" customWidth="1"/>
    <col min="14346" max="14346" width="18.28515625" style="32" customWidth="1"/>
    <col min="14347" max="14347" width="11.7109375" style="32" customWidth="1"/>
    <col min="14348" max="14348" width="13" style="32" customWidth="1"/>
    <col min="14349" max="14349" width="11.140625" style="32" customWidth="1"/>
    <col min="14350" max="14592" width="9.140625" style="32"/>
    <col min="14593" max="14593" width="45.85546875" style="32" customWidth="1"/>
    <col min="14594" max="14594" width="10.85546875" style="32" customWidth="1"/>
    <col min="14595" max="14596" width="10.42578125" style="32" customWidth="1"/>
    <col min="14597" max="14598" width="11.7109375" style="32" customWidth="1"/>
    <col min="14599" max="14599" width="9.140625" style="32"/>
    <col min="14600" max="14600" width="3.140625" style="32" customWidth="1"/>
    <col min="14601" max="14601" width="3.7109375" style="32" customWidth="1"/>
    <col min="14602" max="14602" width="18.28515625" style="32" customWidth="1"/>
    <col min="14603" max="14603" width="11.7109375" style="32" customWidth="1"/>
    <col min="14604" max="14604" width="13" style="32" customWidth="1"/>
    <col min="14605" max="14605" width="11.140625" style="32" customWidth="1"/>
    <col min="14606" max="14848" width="9.140625" style="32"/>
    <col min="14849" max="14849" width="45.85546875" style="32" customWidth="1"/>
    <col min="14850" max="14850" width="10.85546875" style="32" customWidth="1"/>
    <col min="14851" max="14852" width="10.42578125" style="32" customWidth="1"/>
    <col min="14853" max="14854" width="11.7109375" style="32" customWidth="1"/>
    <col min="14855" max="14855" width="9.140625" style="32"/>
    <col min="14856" max="14856" width="3.140625" style="32" customWidth="1"/>
    <col min="14857" max="14857" width="3.7109375" style="32" customWidth="1"/>
    <col min="14858" max="14858" width="18.28515625" style="32" customWidth="1"/>
    <col min="14859" max="14859" width="11.7109375" style="32" customWidth="1"/>
    <col min="14860" max="14860" width="13" style="32" customWidth="1"/>
    <col min="14861" max="14861" width="11.140625" style="32" customWidth="1"/>
    <col min="14862" max="15104" width="9.140625" style="32"/>
    <col min="15105" max="15105" width="45.85546875" style="32" customWidth="1"/>
    <col min="15106" max="15106" width="10.85546875" style="32" customWidth="1"/>
    <col min="15107" max="15108" width="10.42578125" style="32" customWidth="1"/>
    <col min="15109" max="15110" width="11.7109375" style="32" customWidth="1"/>
    <col min="15111" max="15111" width="9.140625" style="32"/>
    <col min="15112" max="15112" width="3.140625" style="32" customWidth="1"/>
    <col min="15113" max="15113" width="3.7109375" style="32" customWidth="1"/>
    <col min="15114" max="15114" width="18.28515625" style="32" customWidth="1"/>
    <col min="15115" max="15115" width="11.7109375" style="32" customWidth="1"/>
    <col min="15116" max="15116" width="13" style="32" customWidth="1"/>
    <col min="15117" max="15117" width="11.140625" style="32" customWidth="1"/>
    <col min="15118" max="15360" width="9.140625" style="32"/>
    <col min="15361" max="15361" width="45.85546875" style="32" customWidth="1"/>
    <col min="15362" max="15362" width="10.85546875" style="32" customWidth="1"/>
    <col min="15363" max="15364" width="10.42578125" style="32" customWidth="1"/>
    <col min="15365" max="15366" width="11.7109375" style="32" customWidth="1"/>
    <col min="15367" max="15367" width="9.140625" style="32"/>
    <col min="15368" max="15368" width="3.140625" style="32" customWidth="1"/>
    <col min="15369" max="15369" width="3.7109375" style="32" customWidth="1"/>
    <col min="15370" max="15370" width="18.28515625" style="32" customWidth="1"/>
    <col min="15371" max="15371" width="11.7109375" style="32" customWidth="1"/>
    <col min="15372" max="15372" width="13" style="32" customWidth="1"/>
    <col min="15373" max="15373" width="11.140625" style="32" customWidth="1"/>
    <col min="15374" max="15616" width="9.140625" style="32"/>
    <col min="15617" max="15617" width="45.85546875" style="32" customWidth="1"/>
    <col min="15618" max="15618" width="10.85546875" style="32" customWidth="1"/>
    <col min="15619" max="15620" width="10.42578125" style="32" customWidth="1"/>
    <col min="15621" max="15622" width="11.7109375" style="32" customWidth="1"/>
    <col min="15623" max="15623" width="9.140625" style="32"/>
    <col min="15624" max="15624" width="3.140625" style="32" customWidth="1"/>
    <col min="15625" max="15625" width="3.7109375" style="32" customWidth="1"/>
    <col min="15626" max="15626" width="18.28515625" style="32" customWidth="1"/>
    <col min="15627" max="15627" width="11.7109375" style="32" customWidth="1"/>
    <col min="15628" max="15628" width="13" style="32" customWidth="1"/>
    <col min="15629" max="15629" width="11.140625" style="32" customWidth="1"/>
    <col min="15630" max="15872" width="9.140625" style="32"/>
    <col min="15873" max="15873" width="45.85546875" style="32" customWidth="1"/>
    <col min="15874" max="15874" width="10.85546875" style="32" customWidth="1"/>
    <col min="15875" max="15876" width="10.42578125" style="32" customWidth="1"/>
    <col min="15877" max="15878" width="11.7109375" style="32" customWidth="1"/>
    <col min="15879" max="15879" width="9.140625" style="32"/>
    <col min="15880" max="15880" width="3.140625" style="32" customWidth="1"/>
    <col min="15881" max="15881" width="3.7109375" style="32" customWidth="1"/>
    <col min="15882" max="15882" width="18.28515625" style="32" customWidth="1"/>
    <col min="15883" max="15883" width="11.7109375" style="32" customWidth="1"/>
    <col min="15884" max="15884" width="13" style="32" customWidth="1"/>
    <col min="15885" max="15885" width="11.140625" style="32" customWidth="1"/>
    <col min="15886" max="16128" width="9.140625" style="32"/>
    <col min="16129" max="16129" width="45.85546875" style="32" customWidth="1"/>
    <col min="16130" max="16130" width="10.85546875" style="32" customWidth="1"/>
    <col min="16131" max="16132" width="10.42578125" style="32" customWidth="1"/>
    <col min="16133" max="16134" width="11.7109375" style="32" customWidth="1"/>
    <col min="16135" max="16135" width="9.140625" style="32"/>
    <col min="16136" max="16136" width="3.140625" style="32" customWidth="1"/>
    <col min="16137" max="16137" width="3.7109375" style="32" customWidth="1"/>
    <col min="16138" max="16138" width="18.28515625" style="32" customWidth="1"/>
    <col min="16139" max="16139" width="11.7109375" style="32" customWidth="1"/>
    <col min="16140" max="16140" width="13" style="32" customWidth="1"/>
    <col min="16141" max="16141" width="11.140625" style="32" customWidth="1"/>
    <col min="16142" max="16384" width="9.140625" style="32"/>
  </cols>
  <sheetData>
    <row r="1" spans="1:30">
      <c r="A1" s="38" t="s">
        <v>281</v>
      </c>
      <c r="B1" s="38"/>
      <c r="D1" s="39"/>
      <c r="L1" s="40"/>
    </row>
    <row r="2" spans="1:30">
      <c r="A2" s="34" t="s">
        <v>282</v>
      </c>
      <c r="B2" s="34"/>
      <c r="C2" s="41"/>
    </row>
    <row r="3" spans="1:30">
      <c r="A3" s="41" t="s">
        <v>158</v>
      </c>
      <c r="B3" s="41"/>
      <c r="C3" s="41"/>
    </row>
    <row r="4" spans="1:30">
      <c r="E4" s="42" t="s">
        <v>283</v>
      </c>
      <c r="F4" s="43">
        <v>2022</v>
      </c>
    </row>
    <row r="5" spans="1:30">
      <c r="B5" s="41"/>
    </row>
    <row r="6" spans="1:30">
      <c r="B6" s="44" t="s">
        <v>159</v>
      </c>
      <c r="C6" s="44" t="s">
        <v>160</v>
      </c>
      <c r="D6" s="44" t="s">
        <v>161</v>
      </c>
      <c r="E6" s="44" t="s">
        <v>162</v>
      </c>
      <c r="F6" s="44" t="s">
        <v>163</v>
      </c>
      <c r="G6" s="44"/>
    </row>
    <row r="7" spans="1:30">
      <c r="B7" s="45" t="s">
        <v>284</v>
      </c>
      <c r="C7" s="44" t="s">
        <v>285</v>
      </c>
      <c r="D7" s="44" t="s">
        <v>285</v>
      </c>
      <c r="E7" s="44" t="s">
        <v>286</v>
      </c>
      <c r="F7" s="44" t="s">
        <v>287</v>
      </c>
      <c r="G7" s="44"/>
    </row>
    <row r="8" spans="1:30">
      <c r="B8" s="45" t="s">
        <v>288</v>
      </c>
      <c r="C8" s="44" t="s">
        <v>262</v>
      </c>
      <c r="D8" s="44" t="s">
        <v>289</v>
      </c>
      <c r="E8" s="44" t="s">
        <v>290</v>
      </c>
      <c r="F8" s="44" t="s">
        <v>291</v>
      </c>
      <c r="G8" s="44"/>
    </row>
    <row r="9" spans="1:30">
      <c r="A9" s="46" t="s">
        <v>292</v>
      </c>
      <c r="G9" s="41"/>
    </row>
    <row r="10" spans="1:30">
      <c r="I10" s="47"/>
      <c r="M10" s="45" t="s">
        <v>150</v>
      </c>
    </row>
    <row r="11" spans="1:30">
      <c r="A11" s="46" t="s">
        <v>293</v>
      </c>
      <c r="I11" s="48" t="s">
        <v>283</v>
      </c>
      <c r="J11" s="49">
        <f>F4</f>
        <v>2022</v>
      </c>
      <c r="K11" s="45" t="s">
        <v>294</v>
      </c>
      <c r="L11" s="45" t="s">
        <v>295</v>
      </c>
      <c r="M11" s="45" t="s">
        <v>296</v>
      </c>
    </row>
    <row r="12" spans="1:30">
      <c r="A12" s="46" t="s">
        <v>297</v>
      </c>
      <c r="C12" s="32">
        <f>K15</f>
        <v>26159.66324355108</v>
      </c>
      <c r="D12" s="32">
        <f>K17+K19</f>
        <v>79291.027840620169</v>
      </c>
      <c r="E12" s="32">
        <f>+Depreciation!E6+Depreciation!E7+Depreciation!E12</f>
        <v>154650.65333333332</v>
      </c>
      <c r="F12" s="32">
        <f>SUM(C12:E12)</f>
        <v>260101.34441750456</v>
      </c>
      <c r="H12" s="50">
        <v>1</v>
      </c>
      <c r="I12" s="32" t="s">
        <v>298</v>
      </c>
      <c r="J12" s="51"/>
      <c r="K12" s="52">
        <f>+'equivalent annual costs'!F5</f>
        <v>404185.17677690624</v>
      </c>
      <c r="L12" s="32">
        <f>+'equivalent annual costs'!F10</f>
        <v>99606.941992967448</v>
      </c>
      <c r="M12" s="52">
        <f>SUM(K12:L12)</f>
        <v>503792.11876987369</v>
      </c>
    </row>
    <row r="13" spans="1:30">
      <c r="A13" s="46" t="s">
        <v>299</v>
      </c>
      <c r="B13" s="32">
        <v>246459</v>
      </c>
      <c r="C13" s="32">
        <f>L15-C30-C33</f>
        <v>3323</v>
      </c>
      <c r="D13" s="32">
        <f>L17+L19-D30-D33</f>
        <v>10072</v>
      </c>
      <c r="E13" s="32">
        <f>+Depreciation!E13</f>
        <v>35275.198857333336</v>
      </c>
      <c r="F13" s="32">
        <f>SUM(C13:E13)</f>
        <v>48670.198857333336</v>
      </c>
      <c r="H13" s="32">
        <v>2</v>
      </c>
      <c r="J13" s="32" t="s">
        <v>300</v>
      </c>
      <c r="K13" s="33">
        <f>K12/M12</f>
        <v>0.80228562877049148</v>
      </c>
      <c r="L13" s="33">
        <f>L12/M12</f>
        <v>0.1977143712295085</v>
      </c>
      <c r="M13" s="7">
        <v>1</v>
      </c>
    </row>
    <row r="14" spans="1:30">
      <c r="A14" s="46" t="s">
        <v>301</v>
      </c>
      <c r="E14" s="32">
        <v>0</v>
      </c>
      <c r="F14" s="32">
        <f t="shared" ref="F14:F19" si="0">SUM(C14:E14)</f>
        <v>0</v>
      </c>
      <c r="G14" s="53"/>
      <c r="J14"/>
      <c r="K14"/>
      <c r="M14"/>
    </row>
    <row r="15" spans="1:30">
      <c r="A15" s="46" t="s">
        <v>302</v>
      </c>
      <c r="E15" s="32">
        <v>0</v>
      </c>
      <c r="F15" s="32">
        <f t="shared" si="0"/>
        <v>0</v>
      </c>
      <c r="G15" s="54"/>
      <c r="H15" s="32">
        <v>3</v>
      </c>
      <c r="I15" s="32" t="s">
        <v>303</v>
      </c>
      <c r="J15"/>
      <c r="K15" s="17">
        <f>M15-L15</f>
        <v>26159.66324355108</v>
      </c>
      <c r="L15" s="32">
        <f>ROUND(M15*L13,0)</f>
        <v>6447</v>
      </c>
      <c r="M15" s="17">
        <f>+'Income Statement Cash Flows'!E40-SUM('cost table'!D87:D91)-SUM('cost table'!D99:D100)-SUM('cost table'!D93:D94)</f>
        <v>32606.66324355108</v>
      </c>
      <c r="N15" s="17"/>
      <c r="Z15" s="17"/>
      <c r="AA15" s="17"/>
      <c r="AB15" s="17"/>
      <c r="AC15" s="17"/>
      <c r="AD15" s="17"/>
    </row>
    <row r="16" spans="1:30">
      <c r="A16" s="46" t="s">
        <v>304</v>
      </c>
      <c r="E16" s="32">
        <v>0</v>
      </c>
      <c r="F16" s="32">
        <f t="shared" si="0"/>
        <v>0</v>
      </c>
      <c r="G16" s="53"/>
      <c r="J16"/>
      <c r="K16"/>
      <c r="M16"/>
    </row>
    <row r="17" spans="1:30">
      <c r="A17" s="32" t="s">
        <v>305</v>
      </c>
      <c r="E17" s="32">
        <v>0</v>
      </c>
      <c r="F17" s="32">
        <f t="shared" si="0"/>
        <v>0</v>
      </c>
      <c r="G17" s="53"/>
      <c r="H17" s="32">
        <v>4</v>
      </c>
      <c r="I17" s="130" t="s">
        <v>379</v>
      </c>
      <c r="J17"/>
      <c r="K17" s="17">
        <f>M17-L17</f>
        <v>54420.027840620169</v>
      </c>
      <c r="L17" s="32">
        <f>ROUND(M17*$L$13,0)</f>
        <v>13411</v>
      </c>
      <c r="M17" s="17">
        <f>+'Income Statement Cash Flows'!E44</f>
        <v>67831.027840620169</v>
      </c>
      <c r="N17" s="17"/>
      <c r="Z17" s="17"/>
      <c r="AA17" s="17"/>
      <c r="AB17" s="17"/>
      <c r="AC17" s="17"/>
      <c r="AD17" s="17"/>
    </row>
    <row r="18" spans="1:30">
      <c r="A18" s="46" t="s">
        <v>307</v>
      </c>
      <c r="E18" s="32">
        <v>0</v>
      </c>
      <c r="F18" s="32">
        <f t="shared" si="0"/>
        <v>0</v>
      </c>
      <c r="G18" s="53"/>
      <c r="J18"/>
      <c r="K18" s="17"/>
      <c r="M18" s="17"/>
    </row>
    <row r="19" spans="1:30">
      <c r="A19" s="46" t="s">
        <v>308</v>
      </c>
      <c r="E19" s="32">
        <v>0</v>
      </c>
      <c r="F19" s="32">
        <f t="shared" si="0"/>
        <v>0</v>
      </c>
      <c r="G19" s="55"/>
      <c r="H19" s="32">
        <v>5</v>
      </c>
      <c r="I19" s="130" t="s">
        <v>582</v>
      </c>
      <c r="J19"/>
      <c r="K19" s="17">
        <f>M19-L19</f>
        <v>24871</v>
      </c>
      <c r="L19" s="32">
        <f>ROUND(M19*$L$13,0)</f>
        <v>6129</v>
      </c>
      <c r="M19" s="5">
        <f>+'Modeling results'!B31</f>
        <v>31000</v>
      </c>
    </row>
    <row r="20" spans="1:30">
      <c r="A20" s="46" t="s">
        <v>309</v>
      </c>
      <c r="B20" s="32">
        <f>SUM(B12:B19)</f>
        <v>246459</v>
      </c>
      <c r="C20" s="32">
        <f>SUM(C12:C19)</f>
        <v>29482.66324355108</v>
      </c>
      <c r="D20" s="32">
        <f>SUM(D12:D19)</f>
        <v>89363.027840620169</v>
      </c>
      <c r="E20" s="32">
        <f>SUM(E12:E19)</f>
        <v>189925.85219066666</v>
      </c>
      <c r="F20" s="32">
        <f>SUM(F12:F19)</f>
        <v>308771.5432748379</v>
      </c>
      <c r="G20" s="55"/>
      <c r="K20"/>
      <c r="M20"/>
    </row>
    <row r="21" spans="1:30">
      <c r="J21"/>
      <c r="K21"/>
      <c r="L21"/>
      <c r="M21"/>
      <c r="N21"/>
    </row>
    <row r="22" spans="1:30">
      <c r="A22" s="46" t="s">
        <v>310</v>
      </c>
      <c r="I22" s="130" t="s">
        <v>583</v>
      </c>
      <c r="J22"/>
      <c r="K22"/>
      <c r="L22"/>
      <c r="M22" s="77">
        <f>+M17/(M17+M19)</f>
        <v>0.68633332388293944</v>
      </c>
      <c r="N22"/>
    </row>
    <row r="23" spans="1:30">
      <c r="A23" s="46" t="s">
        <v>311</v>
      </c>
      <c r="E23" s="32">
        <v>0</v>
      </c>
      <c r="F23" s="32">
        <f>SUM(C23:E23)</f>
        <v>0</v>
      </c>
      <c r="G23" s="56"/>
      <c r="J23"/>
      <c r="K23"/>
      <c r="M23"/>
    </row>
    <row r="24" spans="1:30">
      <c r="A24" s="46" t="s">
        <v>312</v>
      </c>
      <c r="E24" s="32">
        <v>0</v>
      </c>
      <c r="F24" s="32">
        <f>SUM(C24:E24)</f>
        <v>0</v>
      </c>
      <c r="G24" s="56"/>
      <c r="J24"/>
      <c r="K24"/>
      <c r="M24"/>
    </row>
    <row r="25" spans="1:30">
      <c r="A25" s="46" t="s">
        <v>313</v>
      </c>
      <c r="E25" s="32">
        <v>0</v>
      </c>
      <c r="F25" s="32">
        <f>SUM(C25:E25)</f>
        <v>0</v>
      </c>
      <c r="J25"/>
      <c r="K25"/>
      <c r="M25"/>
    </row>
    <row r="26" spans="1:30">
      <c r="A26" s="46" t="s">
        <v>314</v>
      </c>
      <c r="E26" s="32">
        <v>0</v>
      </c>
      <c r="F26" s="32">
        <f>F23+F24+F25</f>
        <v>0</v>
      </c>
      <c r="J26"/>
      <c r="K26"/>
      <c r="M26"/>
    </row>
    <row r="27" spans="1:30">
      <c r="J27"/>
      <c r="K27"/>
      <c r="L27"/>
      <c r="M27"/>
      <c r="N27"/>
    </row>
    <row r="28" spans="1:30">
      <c r="A28" s="46" t="s">
        <v>315</v>
      </c>
      <c r="E28" s="32">
        <v>0</v>
      </c>
      <c r="F28" s="32">
        <f>SUM(C28:E28)</f>
        <v>0</v>
      </c>
      <c r="J28"/>
      <c r="K28"/>
      <c r="L28"/>
      <c r="M28"/>
      <c r="N28"/>
    </row>
    <row r="29" spans="1:30">
      <c r="J29"/>
      <c r="K29"/>
      <c r="L29"/>
      <c r="M29"/>
      <c r="N29"/>
    </row>
    <row r="30" spans="1:30">
      <c r="A30" s="46" t="s">
        <v>316</v>
      </c>
      <c r="B30" s="32">
        <v>195104</v>
      </c>
      <c r="C30" s="32">
        <f>ROUND($B30/$B$37*$L$15,0)</f>
        <v>2631</v>
      </c>
      <c r="D30" s="32">
        <f>ROUND($B30/$B$37*($L$17+$L$19),0)</f>
        <v>7974</v>
      </c>
      <c r="E30" s="32">
        <f>+Depreciation!E9+Depreciation!E10+Depreciation!E11</f>
        <v>42078.384189999982</v>
      </c>
      <c r="F30" s="32">
        <f>SUM(C30:E30)</f>
        <v>52683.384189999982</v>
      </c>
      <c r="K30"/>
      <c r="M30"/>
    </row>
    <row r="31" spans="1:30">
      <c r="A31" s="46"/>
      <c r="J31"/>
      <c r="K31"/>
      <c r="L31"/>
      <c r="M31"/>
      <c r="N31"/>
    </row>
    <row r="32" spans="1:30">
      <c r="A32" s="46" t="s">
        <v>317</v>
      </c>
      <c r="J32"/>
      <c r="K32"/>
      <c r="L32"/>
      <c r="M32"/>
      <c r="N32"/>
    </row>
    <row r="33" spans="1:14">
      <c r="A33" s="46" t="s">
        <v>318</v>
      </c>
      <c r="B33" s="32">
        <v>36552</v>
      </c>
      <c r="C33" s="32">
        <f>ROUND($B33/$B$37*$L$15,0)</f>
        <v>493</v>
      </c>
      <c r="D33" s="32">
        <f>ROUND($B33/$B$37*($L$17+$L$19),0)</f>
        <v>1494</v>
      </c>
      <c r="E33" s="32">
        <f>+Depreciation!E5</f>
        <v>4685</v>
      </c>
      <c r="F33" s="32">
        <f>SUM(C33:E33)</f>
        <v>6672</v>
      </c>
      <c r="K33"/>
      <c r="M33"/>
    </row>
    <row r="34" spans="1:14">
      <c r="A34" s="46" t="s">
        <v>319</v>
      </c>
      <c r="F34" s="32">
        <f>SUM(C34:E34)</f>
        <v>0</v>
      </c>
      <c r="J34"/>
      <c r="K34"/>
      <c r="M34"/>
    </row>
    <row r="35" spans="1:14">
      <c r="A35" s="46" t="s">
        <v>320</v>
      </c>
      <c r="B35" s="32">
        <f>B33+B34</f>
        <v>36552</v>
      </c>
      <c r="C35" s="32">
        <f>C33+C34</f>
        <v>493</v>
      </c>
      <c r="D35" s="32">
        <f>D33+D34</f>
        <v>1494</v>
      </c>
      <c r="E35" s="32">
        <f>E33+E34</f>
        <v>4685</v>
      </c>
      <c r="F35" s="32">
        <f>F33+F34</f>
        <v>6672</v>
      </c>
      <c r="K35"/>
      <c r="M35"/>
    </row>
    <row r="36" spans="1:14">
      <c r="J36"/>
      <c r="K36"/>
      <c r="L36"/>
      <c r="M36"/>
      <c r="N36"/>
    </row>
    <row r="37" spans="1:14">
      <c r="A37" s="46" t="s">
        <v>321</v>
      </c>
      <c r="B37" s="32">
        <f>B35+B30+B28+B26+B20</f>
        <v>478115</v>
      </c>
      <c r="C37" s="32">
        <f>C35+C30+C28+C26+C20</f>
        <v>32606.66324355108</v>
      </c>
      <c r="D37" s="32">
        <f>D35+D30+D28+D26+D20</f>
        <v>98831.027840620169</v>
      </c>
      <c r="E37" s="32">
        <f>E35+E30+E28+E26+E20</f>
        <v>236689.23638066664</v>
      </c>
      <c r="F37" s="32">
        <f>F35+F30+F28+F26+F20</f>
        <v>368126.92746483791</v>
      </c>
      <c r="K37"/>
      <c r="M37"/>
    </row>
    <row r="38" spans="1:14">
      <c r="J38"/>
      <c r="K38"/>
      <c r="L38"/>
      <c r="M38"/>
      <c r="N38"/>
    </row>
    <row r="39" spans="1:14">
      <c r="A39" s="46" t="s">
        <v>322</v>
      </c>
      <c r="B39"/>
      <c r="J39"/>
      <c r="K39"/>
      <c r="L39"/>
      <c r="M39"/>
      <c r="N39"/>
    </row>
    <row r="40" spans="1:14">
      <c r="A40" s="32" t="s">
        <v>323</v>
      </c>
      <c r="E40" s="32">
        <v>0</v>
      </c>
      <c r="F40" s="32">
        <f>SUM(C40:E40)</f>
        <v>0</v>
      </c>
      <c r="M40"/>
    </row>
    <row r="41" spans="1:14">
      <c r="A41" s="32" t="s">
        <v>324</v>
      </c>
      <c r="E41" s="32">
        <v>0</v>
      </c>
      <c r="F41" s="32">
        <f>SUM(C41:E41)</f>
        <v>0</v>
      </c>
      <c r="M41"/>
    </row>
    <row r="42" spans="1:14">
      <c r="A42" s="32" t="s">
        <v>325</v>
      </c>
      <c r="E42" s="32">
        <v>0</v>
      </c>
      <c r="F42" s="32">
        <f>SUM(C42:E42)</f>
        <v>0</v>
      </c>
      <c r="M42"/>
    </row>
    <row r="43" spans="1:14">
      <c r="A43" s="32" t="s">
        <v>326</v>
      </c>
      <c r="E43" s="32">
        <v>0</v>
      </c>
      <c r="F43" s="32">
        <f>SUM(F40:F42)</f>
        <v>0</v>
      </c>
      <c r="M43"/>
    </row>
    <row r="44" spans="1:14">
      <c r="J44"/>
      <c r="K44"/>
      <c r="L44"/>
      <c r="M44"/>
      <c r="N44"/>
    </row>
    <row r="45" spans="1:14">
      <c r="A45" s="46" t="s">
        <v>327</v>
      </c>
      <c r="C45" s="32">
        <f>C37+C43</f>
        <v>32606.66324355108</v>
      </c>
      <c r="D45" s="32">
        <f>D37+D43</f>
        <v>98831.027840620169</v>
      </c>
      <c r="E45" s="32">
        <f>E37+E43</f>
        <v>236689.23638066664</v>
      </c>
      <c r="F45" s="32">
        <f>F37+F43</f>
        <v>368126.92746483791</v>
      </c>
      <c r="M45"/>
    </row>
    <row r="46" spans="1:14">
      <c r="J46"/>
      <c r="K46"/>
      <c r="L46"/>
      <c r="M46"/>
      <c r="N46"/>
    </row>
    <row r="47" spans="1:14">
      <c r="J47"/>
      <c r="K47"/>
      <c r="L47"/>
      <c r="M47"/>
      <c r="N47"/>
    </row>
    <row r="48" spans="1:14">
      <c r="J48"/>
      <c r="K48"/>
      <c r="L48"/>
      <c r="M48"/>
      <c r="N48"/>
    </row>
    <row r="49" spans="1:14">
      <c r="A49" s="57"/>
      <c r="B49" s="57"/>
      <c r="J49"/>
      <c r="K49"/>
      <c r="L49"/>
      <c r="M49"/>
      <c r="N49"/>
    </row>
    <row r="50" spans="1:14">
      <c r="B50" s="57"/>
      <c r="E50" s="42" t="s">
        <v>283</v>
      </c>
      <c r="F50" s="43">
        <f>F4+1</f>
        <v>2023</v>
      </c>
    </row>
    <row r="51" spans="1:14">
      <c r="A51" s="41"/>
      <c r="B51" s="41"/>
    </row>
    <row r="52" spans="1:14">
      <c r="B52" s="44" t="s">
        <v>159</v>
      </c>
      <c r="C52" s="44" t="s">
        <v>160</v>
      </c>
      <c r="D52" s="44" t="s">
        <v>161</v>
      </c>
      <c r="E52" s="44" t="s">
        <v>162</v>
      </c>
      <c r="F52" s="44" t="s">
        <v>163</v>
      </c>
    </row>
    <row r="53" spans="1:14">
      <c r="B53" s="45" t="s">
        <v>284</v>
      </c>
      <c r="C53" s="44" t="s">
        <v>285</v>
      </c>
      <c r="D53" s="44" t="s">
        <v>285</v>
      </c>
      <c r="E53" s="44" t="s">
        <v>286</v>
      </c>
      <c r="F53" s="44" t="s">
        <v>287</v>
      </c>
    </row>
    <row r="54" spans="1:14">
      <c r="B54" s="45" t="s">
        <v>288</v>
      </c>
      <c r="C54" s="44" t="s">
        <v>262</v>
      </c>
      <c r="D54" s="44" t="s">
        <v>289</v>
      </c>
      <c r="E54" s="44" t="s">
        <v>290</v>
      </c>
      <c r="F54" s="44" t="s">
        <v>291</v>
      </c>
    </row>
    <row r="55" spans="1:14">
      <c r="A55" s="46" t="s">
        <v>292</v>
      </c>
      <c r="G55" s="41"/>
    </row>
    <row r="56" spans="1:14">
      <c r="I56" s="47"/>
      <c r="M56" s="45" t="s">
        <v>150</v>
      </c>
    </row>
    <row r="57" spans="1:14">
      <c r="A57" s="46" t="s">
        <v>293</v>
      </c>
      <c r="I57" s="48" t="s">
        <v>283</v>
      </c>
      <c r="J57" s="49">
        <f>F50</f>
        <v>2023</v>
      </c>
      <c r="K57" s="45" t="s">
        <v>294</v>
      </c>
      <c r="L57" s="45" t="s">
        <v>295</v>
      </c>
      <c r="M57" s="45" t="s">
        <v>296</v>
      </c>
    </row>
    <row r="58" spans="1:14">
      <c r="A58" s="46" t="s">
        <v>297</v>
      </c>
      <c r="C58" s="32">
        <f>K61</f>
        <v>22707.810101481638</v>
      </c>
      <c r="D58" s="32">
        <f>K63+K65</f>
        <v>112009.559888727</v>
      </c>
      <c r="E58" s="32">
        <f>+Depreciation!F6+Depreciation!F7+Depreciation!F12</f>
        <v>158319.65333333332</v>
      </c>
      <c r="F58" s="32">
        <f>SUM(C58:E58)</f>
        <v>293037.02332354197</v>
      </c>
      <c r="H58" s="50">
        <v>1</v>
      </c>
      <c r="I58" s="32" t="s">
        <v>298</v>
      </c>
      <c r="J58" s="51"/>
      <c r="K58" s="52">
        <f>+'equivalent annual costs'!I5</f>
        <v>445359.02427969669</v>
      </c>
      <c r="L58" s="32">
        <f>+'equivalent annual costs'!I10</f>
        <v>93174.180394856172</v>
      </c>
      <c r="M58" s="52">
        <f>SUM(K58:L58)</f>
        <v>538533.20467455289</v>
      </c>
    </row>
    <row r="59" spans="1:14" ht="12" customHeight="1">
      <c r="A59" s="46" t="s">
        <v>299</v>
      </c>
      <c r="B59" s="32">
        <v>268316</v>
      </c>
      <c r="C59" s="32">
        <f>L61-C76-C79</f>
        <v>2780</v>
      </c>
      <c r="D59" s="32">
        <f>L63+L65-D76-D79</f>
        <v>13713</v>
      </c>
      <c r="E59" s="32">
        <f>+Depreciation!F13</f>
        <v>35911.132190666671</v>
      </c>
      <c r="F59" s="32">
        <f t="shared" ref="F59:F65" si="1">SUM(C59:E59)</f>
        <v>52404.132190666671</v>
      </c>
      <c r="H59" s="32">
        <v>2</v>
      </c>
      <c r="J59" s="32" t="s">
        <v>300</v>
      </c>
      <c r="K59" s="33">
        <f>K58/M58</f>
        <v>0.82698526370130998</v>
      </c>
      <c r="L59" s="33">
        <f>L58/M58</f>
        <v>0.17301473629868991</v>
      </c>
      <c r="M59" s="7">
        <v>1</v>
      </c>
    </row>
    <row r="60" spans="1:14">
      <c r="A60" s="46" t="s">
        <v>301</v>
      </c>
      <c r="E60" s="32">
        <v>0</v>
      </c>
      <c r="F60" s="32">
        <f t="shared" si="1"/>
        <v>0</v>
      </c>
      <c r="G60" s="53"/>
      <c r="J60"/>
      <c r="K60"/>
      <c r="M60"/>
    </row>
    <row r="61" spans="1:14">
      <c r="A61" s="46" t="s">
        <v>302</v>
      </c>
      <c r="E61" s="32">
        <v>0</v>
      </c>
      <c r="F61" s="32">
        <f t="shared" si="1"/>
        <v>0</v>
      </c>
      <c r="G61" s="54"/>
      <c r="H61" s="32">
        <v>3</v>
      </c>
      <c r="I61" s="32" t="s">
        <v>303</v>
      </c>
      <c r="J61"/>
      <c r="K61" s="17">
        <f>M61-L61</f>
        <v>22707.810101481638</v>
      </c>
      <c r="L61" s="32">
        <f>ROUND(M61*L59,0)</f>
        <v>4751</v>
      </c>
      <c r="M61" s="17">
        <f>+'Income Statement Cash Flows'!F40-SUM('cost table'!E87:E91)-SUM('cost table'!E99:E100)-SUM('cost table'!E93:E94)</f>
        <v>27458.810101481638</v>
      </c>
    </row>
    <row r="62" spans="1:14">
      <c r="A62" s="46" t="s">
        <v>304</v>
      </c>
      <c r="E62" s="32">
        <v>0</v>
      </c>
      <c r="F62" s="32">
        <f t="shared" si="1"/>
        <v>0</v>
      </c>
      <c r="G62" s="53"/>
      <c r="J62"/>
      <c r="K62"/>
      <c r="M62"/>
    </row>
    <row r="63" spans="1:14">
      <c r="A63" s="32" t="s">
        <v>305</v>
      </c>
      <c r="E63" s="32">
        <v>0</v>
      </c>
      <c r="F63" s="32">
        <f t="shared" si="1"/>
        <v>0</v>
      </c>
      <c r="G63" s="53"/>
      <c r="H63" s="32">
        <v>4</v>
      </c>
      <c r="I63" s="32" t="s">
        <v>306</v>
      </c>
      <c r="J63"/>
      <c r="K63" s="17">
        <f>M63-L63</f>
        <v>86372.559888727003</v>
      </c>
      <c r="L63" s="32">
        <f>ROUND(M63*L59,0)</f>
        <v>18070</v>
      </c>
      <c r="M63" s="17">
        <f>+'Income Statement Cash Flows'!F44</f>
        <v>104442.559888727</v>
      </c>
    </row>
    <row r="64" spans="1:14">
      <c r="A64" s="46" t="s">
        <v>307</v>
      </c>
      <c r="E64" s="32">
        <v>0</v>
      </c>
      <c r="F64" s="32">
        <f t="shared" si="1"/>
        <v>0</v>
      </c>
      <c r="G64" s="53"/>
      <c r="J64"/>
      <c r="K64" s="149"/>
      <c r="L64" s="149"/>
      <c r="M64" s="149"/>
    </row>
    <row r="65" spans="1:14">
      <c r="A65" s="46" t="s">
        <v>308</v>
      </c>
      <c r="E65" s="32">
        <v>0</v>
      </c>
      <c r="F65" s="32">
        <f t="shared" si="1"/>
        <v>0</v>
      </c>
      <c r="G65" s="55"/>
      <c r="H65" s="32">
        <v>5</v>
      </c>
      <c r="I65" s="130" t="s">
        <v>582</v>
      </c>
      <c r="J65"/>
      <c r="K65" s="149">
        <f>M65-L65</f>
        <v>25637</v>
      </c>
      <c r="L65" s="149">
        <f>ROUND(M65*$L$59,0)</f>
        <v>5363</v>
      </c>
      <c r="M65" s="149">
        <f>+'Modeling results'!C31</f>
        <v>31000</v>
      </c>
    </row>
    <row r="66" spans="1:14">
      <c r="A66" s="46" t="s">
        <v>309</v>
      </c>
      <c r="B66" s="32">
        <f>SUM(B58:B65)</f>
        <v>268316</v>
      </c>
      <c r="C66" s="32">
        <f>SUM(C58:C65)</f>
        <v>25487.810101481638</v>
      </c>
      <c r="D66" s="32">
        <f>SUM(D58:D65)</f>
        <v>125722.559888727</v>
      </c>
      <c r="E66" s="32">
        <f>SUM(E58:E65)</f>
        <v>194230.78552400001</v>
      </c>
      <c r="F66" s="32">
        <f>SUM(F58:F65)</f>
        <v>345441.15551420866</v>
      </c>
      <c r="G66" s="55"/>
      <c r="K66"/>
      <c r="M66"/>
    </row>
    <row r="67" spans="1:14">
      <c r="J67"/>
      <c r="K67"/>
      <c r="L67"/>
      <c r="M67"/>
      <c r="N67"/>
    </row>
    <row r="68" spans="1:14">
      <c r="A68" s="46" t="s">
        <v>310</v>
      </c>
      <c r="I68" s="130" t="s">
        <v>583</v>
      </c>
      <c r="J68"/>
      <c r="K68"/>
      <c r="L68"/>
      <c r="M68" s="77">
        <f>+M63/(M63+M65)</f>
        <v>0.77112068743039053</v>
      </c>
      <c r="N68"/>
    </row>
    <row r="69" spans="1:14">
      <c r="A69" s="46" t="s">
        <v>311</v>
      </c>
      <c r="E69" s="32">
        <v>0</v>
      </c>
      <c r="F69" s="32">
        <f>SUM(C69:E69)</f>
        <v>0</v>
      </c>
      <c r="G69" s="56"/>
      <c r="J69"/>
      <c r="K69"/>
      <c r="M69"/>
    </row>
    <row r="70" spans="1:14">
      <c r="A70" s="46" t="s">
        <v>312</v>
      </c>
      <c r="E70" s="32">
        <v>0</v>
      </c>
      <c r="F70" s="32">
        <f>SUM(C70:E70)</f>
        <v>0</v>
      </c>
      <c r="G70" s="56"/>
      <c r="J70"/>
      <c r="K70"/>
      <c r="M70"/>
    </row>
    <row r="71" spans="1:14">
      <c r="A71" s="46" t="s">
        <v>313</v>
      </c>
      <c r="E71" s="32">
        <v>0</v>
      </c>
      <c r="F71" s="32">
        <f>SUM(C71:E71)</f>
        <v>0</v>
      </c>
      <c r="J71"/>
      <c r="K71"/>
      <c r="M71"/>
    </row>
    <row r="72" spans="1:14">
      <c r="A72" s="46" t="s">
        <v>314</v>
      </c>
      <c r="E72" s="32">
        <v>0</v>
      </c>
      <c r="F72" s="32">
        <f>F69+F70+F71</f>
        <v>0</v>
      </c>
      <c r="J72"/>
      <c r="K72"/>
      <c r="M72"/>
    </row>
    <row r="73" spans="1:14">
      <c r="J73"/>
      <c r="K73"/>
      <c r="L73"/>
      <c r="M73"/>
      <c r="N73"/>
    </row>
    <row r="74" spans="1:14">
      <c r="A74" s="46" t="s">
        <v>315</v>
      </c>
      <c r="E74" s="32">
        <v>0</v>
      </c>
      <c r="F74" s="32">
        <f>SUM(C74:E74)</f>
        <v>0</v>
      </c>
      <c r="J74"/>
      <c r="K74"/>
      <c r="L74"/>
      <c r="M74"/>
      <c r="N74"/>
    </row>
    <row r="75" spans="1:14">
      <c r="J75"/>
      <c r="K75"/>
      <c r="L75"/>
      <c r="M75"/>
      <c r="N75"/>
    </row>
    <row r="76" spans="1:14">
      <c r="A76" s="46" t="s">
        <v>316</v>
      </c>
      <c r="B76" s="32">
        <v>154959</v>
      </c>
      <c r="C76" s="32">
        <f>ROUND($B76/$B$83*$L$61,0)</f>
        <v>1606</v>
      </c>
      <c r="D76" s="32">
        <f>ROUND($B76/$B$83*($L$63+$L$65),0)</f>
        <v>7919</v>
      </c>
      <c r="E76" s="32">
        <f>+Depreciation!F9+Depreciation!F10+Depreciation!F11</f>
        <v>32975.233590000011</v>
      </c>
      <c r="F76" s="32">
        <f>SUM(C76:E76)</f>
        <v>42500.233590000011</v>
      </c>
      <c r="K76"/>
      <c r="M76"/>
    </row>
    <row r="77" spans="1:14">
      <c r="A77" s="46"/>
      <c r="J77"/>
      <c r="K77"/>
      <c r="L77"/>
      <c r="M77"/>
      <c r="N77"/>
    </row>
    <row r="78" spans="1:14">
      <c r="A78" s="46" t="s">
        <v>317</v>
      </c>
      <c r="J78"/>
      <c r="K78"/>
      <c r="L78"/>
      <c r="M78"/>
      <c r="N78"/>
    </row>
    <row r="79" spans="1:14">
      <c r="A79" s="46" t="s">
        <v>318</v>
      </c>
      <c r="B79" s="32">
        <v>35241</v>
      </c>
      <c r="C79" s="32">
        <f>ROUND($B79/$B$83*$L$61,0)</f>
        <v>365</v>
      </c>
      <c r="D79" s="32">
        <f>ROUND($B79/$B$83*($L$63+$L$65),0)</f>
        <v>1801</v>
      </c>
      <c r="E79" s="32">
        <f>+Depreciation!F5</f>
        <v>4222</v>
      </c>
      <c r="F79" s="32">
        <f>SUM(C79:E79)</f>
        <v>6388</v>
      </c>
      <c r="K79"/>
      <c r="M79"/>
    </row>
    <row r="80" spans="1:14">
      <c r="A80" s="46" t="s">
        <v>319</v>
      </c>
      <c r="F80" s="32">
        <f>SUM(C80:E80)</f>
        <v>0</v>
      </c>
      <c r="J80"/>
      <c r="K80"/>
      <c r="M80"/>
    </row>
    <row r="81" spans="1:14">
      <c r="A81" s="46" t="s">
        <v>320</v>
      </c>
      <c r="B81" s="32">
        <f>B79+B80</f>
        <v>35241</v>
      </c>
      <c r="C81" s="32">
        <f>C79+C80</f>
        <v>365</v>
      </c>
      <c r="D81" s="32">
        <f>D79+D80</f>
        <v>1801</v>
      </c>
      <c r="E81" s="32">
        <f>E79+E80</f>
        <v>4222</v>
      </c>
      <c r="F81" s="32">
        <f>F79+F80</f>
        <v>6388</v>
      </c>
      <c r="K81"/>
      <c r="M81"/>
    </row>
    <row r="82" spans="1:14">
      <c r="J82"/>
      <c r="K82"/>
      <c r="L82"/>
      <c r="M82"/>
      <c r="N82"/>
    </row>
    <row r="83" spans="1:14">
      <c r="A83" s="46" t="s">
        <v>321</v>
      </c>
      <c r="B83" s="32">
        <f>B81+B76+B74+B72+B66</f>
        <v>458516</v>
      </c>
      <c r="C83" s="32">
        <f>C81+C76+C74+C72+C66</f>
        <v>27458.810101481638</v>
      </c>
      <c r="D83" s="32">
        <f>D81+D76+D74+D72+D66</f>
        <v>135442.559888727</v>
      </c>
      <c r="E83" s="32">
        <f>E81+E76+E74+E72+E66</f>
        <v>231428.01911400002</v>
      </c>
      <c r="F83" s="32">
        <f>F81+F76+F74+F72+F66</f>
        <v>394329.38910420868</v>
      </c>
      <c r="K83"/>
      <c r="M83"/>
    </row>
    <row r="84" spans="1:14">
      <c r="J84"/>
      <c r="K84"/>
      <c r="L84"/>
      <c r="M84"/>
      <c r="N84"/>
    </row>
    <row r="85" spans="1:14">
      <c r="A85" s="46" t="s">
        <v>322</v>
      </c>
      <c r="B85"/>
      <c r="J85"/>
      <c r="K85"/>
      <c r="L85"/>
      <c r="M85"/>
      <c r="N85"/>
    </row>
    <row r="86" spans="1:14">
      <c r="A86" s="32" t="s">
        <v>323</v>
      </c>
      <c r="E86" s="32">
        <v>0</v>
      </c>
      <c r="F86" s="32">
        <f>SUM(C86:E86)</f>
        <v>0</v>
      </c>
      <c r="M86"/>
    </row>
    <row r="87" spans="1:14">
      <c r="A87" s="32" t="s">
        <v>324</v>
      </c>
      <c r="E87" s="32">
        <v>0</v>
      </c>
      <c r="F87" s="32">
        <f>SUM(C87:E87)</f>
        <v>0</v>
      </c>
      <c r="M87"/>
    </row>
    <row r="88" spans="1:14">
      <c r="A88" s="32" t="s">
        <v>325</v>
      </c>
      <c r="E88" s="32">
        <v>0</v>
      </c>
      <c r="F88" s="32">
        <f>SUM(C88:E88)</f>
        <v>0</v>
      </c>
      <c r="M88"/>
    </row>
    <row r="89" spans="1:14">
      <c r="A89" s="32" t="s">
        <v>326</v>
      </c>
      <c r="E89" s="32">
        <v>0</v>
      </c>
      <c r="F89" s="32">
        <f>SUM(F86:F88)</f>
        <v>0</v>
      </c>
      <c r="M89"/>
    </row>
    <row r="90" spans="1:14">
      <c r="J90"/>
      <c r="K90"/>
      <c r="L90"/>
      <c r="M90"/>
      <c r="N90"/>
    </row>
    <row r="91" spans="1:14">
      <c r="A91" s="46" t="s">
        <v>327</v>
      </c>
      <c r="C91" s="32">
        <f>C89+C83</f>
        <v>27458.810101481638</v>
      </c>
      <c r="D91" s="32">
        <f>D89+D83</f>
        <v>135442.559888727</v>
      </c>
      <c r="E91" s="32">
        <f>E89+E83</f>
        <v>231428.01911400002</v>
      </c>
      <c r="F91" s="32">
        <f>F89+F83</f>
        <v>394329.38910420868</v>
      </c>
      <c r="M91"/>
    </row>
    <row r="92" spans="1:14">
      <c r="J92"/>
      <c r="K92"/>
      <c r="L92"/>
      <c r="M92"/>
      <c r="N92"/>
    </row>
    <row r="93" spans="1:14">
      <c r="J93"/>
      <c r="K93"/>
      <c r="L93"/>
      <c r="M93"/>
      <c r="N93"/>
    </row>
    <row r="94" spans="1:14">
      <c r="J94"/>
      <c r="K94"/>
      <c r="L94"/>
      <c r="M94"/>
      <c r="N94"/>
    </row>
    <row r="95" spans="1:14">
      <c r="A95" s="57"/>
      <c r="B95" s="57"/>
      <c r="J95"/>
      <c r="K95"/>
      <c r="L95"/>
      <c r="M95"/>
      <c r="N95"/>
    </row>
    <row r="96" spans="1:14">
      <c r="E96" s="42"/>
      <c r="F96" s="43"/>
    </row>
    <row r="97" spans="1:13">
      <c r="A97" s="41"/>
      <c r="B97" s="41"/>
    </row>
    <row r="98" spans="1:13">
      <c r="B98" s="44"/>
      <c r="C98" s="44"/>
      <c r="D98" s="44"/>
      <c r="E98" s="44"/>
      <c r="F98" s="44"/>
    </row>
    <row r="99" spans="1:13">
      <c r="B99" s="45"/>
      <c r="C99" s="44"/>
      <c r="D99" s="44"/>
      <c r="E99" s="44"/>
      <c r="F99" s="44"/>
    </row>
    <row r="100" spans="1:13">
      <c r="B100" s="45"/>
      <c r="C100" s="44"/>
      <c r="D100" s="44"/>
      <c r="E100" s="44"/>
      <c r="F100" s="44"/>
    </row>
    <row r="101" spans="1:13">
      <c r="A101" s="46"/>
      <c r="G101" s="41"/>
    </row>
    <row r="102" spans="1:13">
      <c r="I102" s="47"/>
      <c r="M102" s="45"/>
    </row>
    <row r="103" spans="1:13">
      <c r="A103" s="46"/>
      <c r="I103" s="48"/>
      <c r="J103" s="49"/>
      <c r="K103" s="45"/>
      <c r="L103" s="45"/>
      <c r="M103" s="45"/>
    </row>
    <row r="104" spans="1:13">
      <c r="A104" s="46"/>
      <c r="H104" s="50"/>
      <c r="J104" s="51"/>
      <c r="K104" s="52"/>
      <c r="M104" s="52"/>
    </row>
    <row r="105" spans="1:13">
      <c r="A105" s="46"/>
      <c r="K105" s="33"/>
      <c r="L105" s="33"/>
      <c r="M105" s="7"/>
    </row>
    <row r="106" spans="1:13">
      <c r="A106" s="46"/>
      <c r="G106" s="53"/>
      <c r="J106"/>
      <c r="K106"/>
      <c r="M106"/>
    </row>
    <row r="107" spans="1:13">
      <c r="A107" s="46"/>
      <c r="G107" s="54"/>
      <c r="J107"/>
      <c r="K107" s="17"/>
      <c r="M107" s="17"/>
    </row>
    <row r="108" spans="1:13">
      <c r="A108" s="46"/>
      <c r="G108" s="53"/>
      <c r="J108"/>
      <c r="K108"/>
      <c r="M108"/>
    </row>
    <row r="109" spans="1:13">
      <c r="G109" s="53"/>
      <c r="J109"/>
      <c r="K109" s="17"/>
      <c r="M109" s="17"/>
    </row>
    <row r="110" spans="1:13">
      <c r="A110" s="46"/>
      <c r="G110" s="53"/>
      <c r="J110"/>
      <c r="K110" s="149"/>
      <c r="L110" s="149"/>
      <c r="M110" s="17"/>
    </row>
    <row r="111" spans="1:13">
      <c r="A111" s="46"/>
      <c r="G111" s="55"/>
      <c r="J111"/>
      <c r="K111" s="149"/>
      <c r="L111" s="149"/>
      <c r="M111"/>
    </row>
    <row r="112" spans="1:13">
      <c r="A112" s="46"/>
      <c r="G112" s="55"/>
      <c r="K112"/>
      <c r="M112"/>
    </row>
    <row r="113" spans="1:14">
      <c r="J113"/>
      <c r="K113"/>
      <c r="L113"/>
      <c r="M113"/>
      <c r="N113"/>
    </row>
    <row r="114" spans="1:14">
      <c r="A114" s="46"/>
      <c r="J114"/>
      <c r="K114"/>
      <c r="L114"/>
      <c r="M114"/>
      <c r="N114"/>
    </row>
    <row r="115" spans="1:14">
      <c r="A115" s="46"/>
      <c r="G115" s="56"/>
      <c r="J115"/>
      <c r="K115"/>
      <c r="M115"/>
    </row>
    <row r="116" spans="1:14">
      <c r="A116" s="46"/>
      <c r="G116" s="56"/>
      <c r="J116"/>
      <c r="K116"/>
      <c r="M116"/>
    </row>
    <row r="117" spans="1:14">
      <c r="A117" s="46"/>
      <c r="J117"/>
      <c r="K117"/>
      <c r="M117"/>
    </row>
    <row r="118" spans="1:14">
      <c r="A118" s="46"/>
      <c r="J118"/>
      <c r="K118"/>
      <c r="M118"/>
    </row>
    <row r="119" spans="1:14">
      <c r="J119"/>
      <c r="K119"/>
      <c r="L119"/>
      <c r="M119"/>
      <c r="N119"/>
    </row>
    <row r="120" spans="1:14">
      <c r="A120" s="46"/>
      <c r="J120"/>
      <c r="K120"/>
      <c r="L120"/>
      <c r="M120"/>
    </row>
    <row r="121" spans="1:14">
      <c r="J121"/>
      <c r="K121"/>
      <c r="L121"/>
      <c r="M121"/>
      <c r="N121"/>
    </row>
    <row r="122" spans="1:14">
      <c r="A122" s="46"/>
      <c r="K122"/>
      <c r="M122"/>
    </row>
    <row r="123" spans="1:14">
      <c r="A123" s="46"/>
      <c r="J123"/>
      <c r="K123"/>
      <c r="L123"/>
      <c r="M123"/>
      <c r="N123"/>
    </row>
    <row r="124" spans="1:14">
      <c r="A124" s="46"/>
      <c r="J124"/>
      <c r="K124"/>
      <c r="L124"/>
      <c r="M124"/>
      <c r="N124"/>
    </row>
    <row r="125" spans="1:14">
      <c r="A125" s="46"/>
      <c r="K125"/>
      <c r="M125"/>
    </row>
    <row r="126" spans="1:14">
      <c r="A126" s="46"/>
      <c r="J126"/>
      <c r="K126"/>
      <c r="M126"/>
    </row>
    <row r="127" spans="1:14">
      <c r="A127" s="46"/>
      <c r="K127"/>
      <c r="M127"/>
    </row>
    <row r="128" spans="1:14">
      <c r="J128"/>
      <c r="K128"/>
      <c r="L128"/>
      <c r="M128"/>
      <c r="N128"/>
    </row>
    <row r="129" spans="1:14">
      <c r="A129" s="46"/>
      <c r="K129"/>
      <c r="M129"/>
    </row>
    <row r="130" spans="1:14">
      <c r="J130"/>
      <c r="K130"/>
      <c r="L130"/>
      <c r="M130"/>
      <c r="N130"/>
    </row>
    <row r="131" spans="1:14">
      <c r="A131" s="46"/>
      <c r="B131"/>
      <c r="J131"/>
      <c r="K131"/>
      <c r="L131"/>
      <c r="M131"/>
      <c r="N131"/>
    </row>
    <row r="132" spans="1:14">
      <c r="M132"/>
    </row>
    <row r="133" spans="1:14">
      <c r="M133"/>
    </row>
    <row r="134" spans="1:14">
      <c r="M134"/>
    </row>
    <row r="135" spans="1:14">
      <c r="M135"/>
    </row>
    <row r="136" spans="1:14">
      <c r="J136"/>
      <c r="K136"/>
      <c r="L136"/>
      <c r="M136"/>
      <c r="N136"/>
    </row>
    <row r="137" spans="1:14">
      <c r="A137" s="46"/>
      <c r="M137"/>
    </row>
    <row r="138" spans="1:14">
      <c r="J138"/>
      <c r="K138"/>
      <c r="L138"/>
      <c r="M138"/>
      <c r="N138"/>
    </row>
    <row r="139" spans="1:14">
      <c r="J139"/>
      <c r="K139"/>
      <c r="L139"/>
      <c r="M139"/>
      <c r="N139"/>
    </row>
    <row r="140" spans="1:14">
      <c r="J140"/>
      <c r="K140"/>
      <c r="L140"/>
      <c r="M140"/>
    </row>
    <row r="141" spans="1:14">
      <c r="A141" s="57"/>
      <c r="B141" s="57"/>
      <c r="J141"/>
      <c r="K141"/>
      <c r="L141"/>
      <c r="M141"/>
    </row>
    <row r="142" spans="1:14">
      <c r="E142" s="42"/>
      <c r="F142" s="43"/>
    </row>
    <row r="143" spans="1:14">
      <c r="A143" s="41"/>
      <c r="B143" s="41"/>
    </row>
    <row r="144" spans="1:14">
      <c r="B144" s="44"/>
      <c r="C144" s="44"/>
      <c r="D144" s="44"/>
      <c r="E144" s="44"/>
      <c r="F144" s="44"/>
    </row>
    <row r="145" spans="1:14">
      <c r="B145" s="45"/>
      <c r="C145" s="44"/>
      <c r="D145" s="44"/>
      <c r="E145" s="44"/>
      <c r="F145" s="44"/>
    </row>
    <row r="146" spans="1:14">
      <c r="B146" s="45"/>
      <c r="C146" s="44"/>
      <c r="D146" s="44"/>
      <c r="E146" s="44"/>
      <c r="F146" s="44"/>
    </row>
    <row r="147" spans="1:14">
      <c r="A147" s="46"/>
      <c r="G147" s="41"/>
    </row>
    <row r="148" spans="1:14">
      <c r="I148" s="47"/>
      <c r="M148" s="45"/>
    </row>
    <row r="149" spans="1:14">
      <c r="A149" s="46"/>
      <c r="I149" s="48"/>
      <c r="J149" s="49"/>
      <c r="K149" s="45"/>
      <c r="L149" s="45"/>
      <c r="M149" s="45"/>
    </row>
    <row r="150" spans="1:14">
      <c r="A150" s="46"/>
      <c r="H150" s="50"/>
      <c r="J150" s="51"/>
      <c r="K150" s="52"/>
      <c r="M150" s="52"/>
    </row>
    <row r="151" spans="1:14">
      <c r="A151" s="46"/>
      <c r="K151" s="33"/>
      <c r="L151" s="33"/>
      <c r="M151" s="7"/>
    </row>
    <row r="152" spans="1:14">
      <c r="A152" s="46"/>
      <c r="G152" s="53"/>
      <c r="J152"/>
      <c r="K152"/>
      <c r="M152"/>
    </row>
    <row r="153" spans="1:14">
      <c r="A153" s="46"/>
      <c r="G153" s="54"/>
      <c r="J153"/>
      <c r="K153" s="17"/>
      <c r="M153" s="17"/>
    </row>
    <row r="154" spans="1:14">
      <c r="A154" s="46"/>
      <c r="G154" s="53"/>
      <c r="J154"/>
      <c r="K154"/>
      <c r="M154"/>
    </row>
    <row r="155" spans="1:14">
      <c r="G155" s="53"/>
      <c r="J155"/>
      <c r="K155" s="17"/>
      <c r="M155" s="17"/>
    </row>
    <row r="156" spans="1:14">
      <c r="A156" s="46"/>
      <c r="G156" s="53"/>
      <c r="J156"/>
      <c r="K156" s="17"/>
      <c r="M156" s="17"/>
    </row>
    <row r="157" spans="1:14">
      <c r="A157" s="46"/>
      <c r="G157" s="55"/>
      <c r="J157"/>
      <c r="K157"/>
      <c r="M157"/>
    </row>
    <row r="158" spans="1:14">
      <c r="A158" s="46"/>
      <c r="G158" s="55"/>
      <c r="K158"/>
      <c r="M158"/>
    </row>
    <row r="159" spans="1:14">
      <c r="J159"/>
      <c r="K159"/>
      <c r="L159"/>
      <c r="M159"/>
      <c r="N159"/>
    </row>
    <row r="160" spans="1:14">
      <c r="A160" s="46"/>
      <c r="J160"/>
      <c r="K160"/>
      <c r="L160"/>
      <c r="M160"/>
      <c r="N160"/>
    </row>
    <row r="161" spans="1:14">
      <c r="A161" s="46"/>
      <c r="G161" s="56"/>
      <c r="J161"/>
      <c r="K161"/>
      <c r="M161"/>
    </row>
    <row r="162" spans="1:14">
      <c r="A162" s="46"/>
      <c r="G162" s="56"/>
      <c r="J162"/>
      <c r="K162"/>
      <c r="M162"/>
    </row>
    <row r="163" spans="1:14">
      <c r="A163" s="46"/>
      <c r="J163"/>
      <c r="K163"/>
      <c r="M163"/>
    </row>
    <row r="164" spans="1:14">
      <c r="A164" s="46"/>
      <c r="J164"/>
      <c r="K164"/>
      <c r="M164"/>
    </row>
    <row r="165" spans="1:14">
      <c r="J165"/>
      <c r="K165"/>
      <c r="L165"/>
      <c r="M165"/>
      <c r="N165"/>
    </row>
    <row r="166" spans="1:14">
      <c r="A166" s="46"/>
      <c r="J166"/>
      <c r="K166"/>
      <c r="L166"/>
      <c r="M166"/>
    </row>
    <row r="167" spans="1:14">
      <c r="J167"/>
      <c r="K167"/>
      <c r="L167"/>
      <c r="M167"/>
      <c r="N167"/>
    </row>
    <row r="168" spans="1:14">
      <c r="A168" s="46"/>
      <c r="K168"/>
      <c r="M168"/>
    </row>
    <row r="169" spans="1:14">
      <c r="A169" s="46"/>
      <c r="J169"/>
      <c r="K169"/>
      <c r="L169"/>
      <c r="M169"/>
      <c r="N169"/>
    </row>
    <row r="170" spans="1:14">
      <c r="A170" s="46"/>
      <c r="J170"/>
      <c r="K170"/>
      <c r="L170"/>
      <c r="M170"/>
      <c r="N170"/>
    </row>
    <row r="171" spans="1:14">
      <c r="A171" s="46"/>
      <c r="K171"/>
      <c r="M171"/>
    </row>
    <row r="172" spans="1:14">
      <c r="A172" s="46"/>
      <c r="J172"/>
      <c r="K172"/>
      <c r="M172"/>
    </row>
    <row r="173" spans="1:14">
      <c r="A173" s="46"/>
      <c r="K173"/>
      <c r="M173"/>
    </row>
    <row r="174" spans="1:14">
      <c r="J174"/>
      <c r="K174"/>
      <c r="L174"/>
      <c r="M174"/>
      <c r="N174"/>
    </row>
    <row r="175" spans="1:14">
      <c r="A175" s="46"/>
      <c r="K175"/>
      <c r="M175"/>
    </row>
    <row r="176" spans="1:14">
      <c r="J176"/>
      <c r="K176"/>
      <c r="L176"/>
      <c r="M176"/>
      <c r="N176"/>
    </row>
    <row r="177" spans="1:14">
      <c r="A177" s="46"/>
      <c r="B177"/>
      <c r="J177"/>
      <c r="K177"/>
      <c r="L177"/>
      <c r="M177"/>
      <c r="N177"/>
    </row>
    <row r="178" spans="1:14">
      <c r="M178"/>
    </row>
    <row r="179" spans="1:14">
      <c r="M179"/>
    </row>
    <row r="180" spans="1:14">
      <c r="M180"/>
    </row>
    <row r="181" spans="1:14">
      <c r="M181"/>
    </row>
    <row r="182" spans="1:14">
      <c r="J182"/>
      <c r="K182"/>
      <c r="L182"/>
      <c r="M182"/>
      <c r="N182"/>
    </row>
    <row r="183" spans="1:14">
      <c r="A183" s="46"/>
      <c r="M183"/>
    </row>
    <row r="184" spans="1:14">
      <c r="J184"/>
      <c r="K184"/>
      <c r="L184"/>
      <c r="M184"/>
      <c r="N184"/>
    </row>
    <row r="185" spans="1:14">
      <c r="J185"/>
      <c r="K185"/>
      <c r="L185"/>
      <c r="M185"/>
      <c r="N185"/>
    </row>
    <row r="186" spans="1:14">
      <c r="J186"/>
      <c r="K186"/>
      <c r="L186"/>
      <c r="M186"/>
    </row>
    <row r="187" spans="1:14">
      <c r="A187" s="57"/>
      <c r="B187" s="57"/>
      <c r="J187"/>
      <c r="K187"/>
      <c r="L187"/>
      <c r="M187"/>
      <c r="N187"/>
    </row>
    <row r="188" spans="1:14">
      <c r="E188" s="42"/>
      <c r="F188" s="43"/>
    </row>
    <row r="189" spans="1:14">
      <c r="A189" s="41"/>
      <c r="B189" s="41"/>
    </row>
    <row r="190" spans="1:14">
      <c r="B190" s="44"/>
      <c r="C190" s="44"/>
      <c r="D190" s="44"/>
      <c r="E190" s="44"/>
      <c r="F190" s="44"/>
    </row>
    <row r="191" spans="1:14">
      <c r="B191" s="45"/>
      <c r="C191" s="44"/>
      <c r="D191" s="44"/>
      <c r="E191" s="44"/>
      <c r="F191" s="44"/>
    </row>
    <row r="192" spans="1:14">
      <c r="B192" s="45"/>
      <c r="C192" s="44"/>
      <c r="D192" s="44"/>
      <c r="E192" s="44"/>
      <c r="F192" s="44"/>
    </row>
    <row r="193" spans="1:14">
      <c r="A193" s="46"/>
      <c r="G193" s="41"/>
    </row>
    <row r="194" spans="1:14">
      <c r="I194" s="47"/>
      <c r="M194" s="45"/>
    </row>
    <row r="195" spans="1:14">
      <c r="A195" s="46"/>
      <c r="I195" s="48"/>
      <c r="J195" s="49"/>
      <c r="K195" s="45"/>
      <c r="L195" s="45"/>
      <c r="M195" s="45"/>
    </row>
    <row r="196" spans="1:14">
      <c r="A196" s="46"/>
      <c r="H196" s="50"/>
      <c r="J196" s="51"/>
      <c r="K196" s="52"/>
      <c r="M196" s="52"/>
    </row>
    <row r="197" spans="1:14">
      <c r="A197" s="46"/>
      <c r="K197" s="33"/>
      <c r="L197" s="33"/>
      <c r="M197" s="7"/>
    </row>
    <row r="198" spans="1:14">
      <c r="A198" s="46"/>
      <c r="G198" s="53"/>
      <c r="J198"/>
      <c r="K198"/>
      <c r="M198"/>
    </row>
    <row r="199" spans="1:14">
      <c r="A199" s="46"/>
      <c r="G199" s="54"/>
      <c r="J199"/>
      <c r="K199" s="17"/>
      <c r="M199" s="17"/>
    </row>
    <row r="200" spans="1:14">
      <c r="A200" s="46"/>
      <c r="G200" s="53"/>
      <c r="J200"/>
      <c r="K200"/>
      <c r="M200"/>
    </row>
    <row r="201" spans="1:14">
      <c r="G201" s="53"/>
      <c r="J201"/>
      <c r="K201" s="17"/>
      <c r="M201" s="17"/>
    </row>
    <row r="202" spans="1:14">
      <c r="A202" s="46"/>
      <c r="G202" s="53"/>
      <c r="J202"/>
      <c r="K202" s="17"/>
      <c r="M202" s="17"/>
    </row>
    <row r="203" spans="1:14">
      <c r="A203" s="46"/>
      <c r="G203" s="55"/>
      <c r="J203"/>
      <c r="K203"/>
      <c r="M203"/>
    </row>
    <row r="204" spans="1:14">
      <c r="A204" s="46"/>
      <c r="G204" s="55"/>
      <c r="K204"/>
      <c r="M204"/>
    </row>
    <row r="205" spans="1:14">
      <c r="J205"/>
      <c r="K205"/>
      <c r="L205"/>
      <c r="M205"/>
      <c r="N205"/>
    </row>
    <row r="206" spans="1:14">
      <c r="A206" s="46"/>
      <c r="J206"/>
      <c r="K206"/>
      <c r="L206"/>
      <c r="M206"/>
      <c r="N206"/>
    </row>
    <row r="207" spans="1:14">
      <c r="A207" s="46"/>
      <c r="G207" s="56"/>
      <c r="J207"/>
      <c r="K207"/>
      <c r="M207"/>
    </row>
    <row r="208" spans="1:14">
      <c r="A208" s="46"/>
      <c r="G208" s="56"/>
      <c r="J208"/>
      <c r="K208"/>
      <c r="M208"/>
    </row>
    <row r="209" spans="1:14">
      <c r="A209" s="46"/>
      <c r="J209"/>
      <c r="K209"/>
      <c r="M209"/>
    </row>
    <row r="210" spans="1:14">
      <c r="A210" s="46"/>
      <c r="J210"/>
      <c r="K210"/>
      <c r="M210"/>
    </row>
    <row r="211" spans="1:14">
      <c r="J211"/>
      <c r="K211"/>
      <c r="L211"/>
      <c r="M211"/>
      <c r="N211"/>
    </row>
    <row r="212" spans="1:14">
      <c r="A212" s="46"/>
      <c r="J212"/>
      <c r="K212"/>
      <c r="L212"/>
      <c r="M212"/>
    </row>
    <row r="213" spans="1:14">
      <c r="J213"/>
      <c r="K213"/>
      <c r="L213"/>
      <c r="M213"/>
      <c r="N213"/>
    </row>
    <row r="214" spans="1:14">
      <c r="A214" s="46"/>
      <c r="K214"/>
      <c r="M214"/>
    </row>
    <row r="215" spans="1:14">
      <c r="A215" s="46"/>
      <c r="J215"/>
      <c r="K215"/>
      <c r="L215"/>
      <c r="M215"/>
      <c r="N215"/>
    </row>
    <row r="216" spans="1:14">
      <c r="A216" s="46"/>
      <c r="J216"/>
      <c r="K216"/>
      <c r="L216"/>
      <c r="M216"/>
      <c r="N216"/>
    </row>
    <row r="217" spans="1:14">
      <c r="A217" s="46"/>
      <c r="K217"/>
      <c r="M217"/>
      <c r="N217"/>
    </row>
    <row r="218" spans="1:14">
      <c r="A218" s="46"/>
      <c r="J218"/>
      <c r="K218"/>
      <c r="M218"/>
    </row>
    <row r="219" spans="1:14">
      <c r="A219" s="46"/>
      <c r="K219"/>
      <c r="M219"/>
    </row>
    <row r="220" spans="1:14">
      <c r="J220"/>
      <c r="K220"/>
      <c r="L220"/>
      <c r="M220"/>
    </row>
    <row r="221" spans="1:14">
      <c r="A221" s="46"/>
      <c r="K221"/>
      <c r="M221"/>
      <c r="N221"/>
    </row>
    <row r="222" spans="1:14">
      <c r="J222"/>
      <c r="K222"/>
      <c r="L222"/>
      <c r="M222"/>
    </row>
    <row r="223" spans="1:14">
      <c r="A223" s="46"/>
      <c r="B223"/>
      <c r="J223"/>
      <c r="K223"/>
      <c r="L223"/>
      <c r="M223"/>
      <c r="N223"/>
    </row>
    <row r="224" spans="1:14">
      <c r="M224"/>
      <c r="N224"/>
    </row>
    <row r="225" spans="1:14">
      <c r="M225"/>
    </row>
    <row r="226" spans="1:14">
      <c r="M226"/>
    </row>
    <row r="227" spans="1:14">
      <c r="M227"/>
    </row>
    <row r="228" spans="1:14">
      <c r="J228"/>
      <c r="K228"/>
      <c r="L228"/>
      <c r="M228"/>
    </row>
    <row r="229" spans="1:14">
      <c r="A229" s="46"/>
      <c r="M229"/>
      <c r="N229"/>
    </row>
    <row r="230" spans="1:14">
      <c r="J230"/>
      <c r="K230"/>
      <c r="L230"/>
      <c r="M230"/>
    </row>
    <row r="231" spans="1:14">
      <c r="J231"/>
      <c r="K231"/>
      <c r="L231"/>
      <c r="M231"/>
      <c r="N231"/>
    </row>
    <row r="232" spans="1:14">
      <c r="J232"/>
      <c r="K232"/>
      <c r="L232"/>
      <c r="M232"/>
      <c r="N232"/>
    </row>
    <row r="233" spans="1:14">
      <c r="A233" s="57"/>
      <c r="B233" s="57"/>
      <c r="J233"/>
      <c r="K233"/>
      <c r="L233"/>
      <c r="M233"/>
    </row>
    <row r="234" spans="1:14">
      <c r="E234" s="42"/>
      <c r="F234" s="43"/>
      <c r="N234"/>
    </row>
    <row r="235" spans="1:14">
      <c r="A235" s="41"/>
      <c r="B235" s="41"/>
    </row>
    <row r="236" spans="1:14">
      <c r="B236" s="44"/>
      <c r="C236" s="44"/>
      <c r="D236" s="44"/>
      <c r="E236" s="44"/>
      <c r="F236" s="44"/>
    </row>
    <row r="237" spans="1:14">
      <c r="B237" s="45"/>
      <c r="C237" s="44"/>
      <c r="D237" s="44"/>
      <c r="E237" s="44"/>
      <c r="F237" s="44"/>
    </row>
    <row r="238" spans="1:14">
      <c r="B238" s="45"/>
      <c r="C238" s="44"/>
      <c r="D238" s="44"/>
      <c r="E238" s="44"/>
      <c r="F238" s="44"/>
    </row>
    <row r="239" spans="1:14">
      <c r="A239" s="46"/>
      <c r="G239" s="41"/>
    </row>
    <row r="240" spans="1:14">
      <c r="I240" s="47"/>
      <c r="M240" s="45"/>
    </row>
    <row r="241" spans="1:14">
      <c r="A241" s="46"/>
      <c r="I241" s="48"/>
      <c r="J241" s="49"/>
      <c r="K241" s="45"/>
      <c r="L241" s="45"/>
      <c r="M241" s="45"/>
    </row>
    <row r="242" spans="1:14">
      <c r="A242" s="46"/>
      <c r="H242" s="50"/>
      <c r="J242" s="51"/>
      <c r="K242" s="52"/>
      <c r="M242" s="52"/>
    </row>
    <row r="243" spans="1:14">
      <c r="A243" s="46"/>
      <c r="K243" s="33"/>
      <c r="L243" s="33"/>
      <c r="M243" s="7"/>
    </row>
    <row r="244" spans="1:14">
      <c r="A244" s="46"/>
      <c r="G244" s="53"/>
      <c r="J244"/>
      <c r="K244"/>
      <c r="M244"/>
    </row>
    <row r="245" spans="1:14">
      <c r="A245" s="46"/>
      <c r="G245" s="54"/>
      <c r="J245"/>
      <c r="K245" s="17"/>
      <c r="M245" s="17"/>
    </row>
    <row r="246" spans="1:14">
      <c r="A246" s="46"/>
      <c r="G246" s="53"/>
      <c r="J246"/>
      <c r="K246"/>
      <c r="M246"/>
    </row>
    <row r="247" spans="1:14">
      <c r="G247" s="53"/>
      <c r="J247"/>
      <c r="K247" s="17"/>
      <c r="M247" s="17"/>
    </row>
    <row r="248" spans="1:14">
      <c r="A248" s="46"/>
      <c r="G248" s="53"/>
      <c r="J248"/>
      <c r="K248" s="17"/>
      <c r="M248" s="17"/>
    </row>
    <row r="249" spans="1:14">
      <c r="A249" s="46"/>
      <c r="G249" s="55"/>
      <c r="J249"/>
      <c r="K249"/>
      <c r="M249"/>
    </row>
    <row r="250" spans="1:14">
      <c r="A250" s="46"/>
      <c r="G250" s="55"/>
      <c r="K250"/>
      <c r="M250"/>
    </row>
    <row r="251" spans="1:14">
      <c r="J251"/>
      <c r="K251"/>
      <c r="L251"/>
      <c r="M251"/>
    </row>
    <row r="252" spans="1:14">
      <c r="A252" s="46"/>
      <c r="J252"/>
      <c r="K252"/>
      <c r="L252"/>
      <c r="M252"/>
      <c r="N252"/>
    </row>
    <row r="253" spans="1:14">
      <c r="A253" s="46"/>
      <c r="G253" s="56"/>
      <c r="J253"/>
      <c r="K253"/>
      <c r="M253"/>
      <c r="N253"/>
    </row>
    <row r="254" spans="1:14">
      <c r="A254" s="46"/>
      <c r="G254" s="56"/>
      <c r="J254"/>
      <c r="K254"/>
      <c r="M254"/>
    </row>
    <row r="255" spans="1:14">
      <c r="A255" s="46"/>
      <c r="J255"/>
      <c r="K255"/>
      <c r="M255"/>
    </row>
    <row r="256" spans="1:14">
      <c r="A256" s="46"/>
      <c r="J256"/>
      <c r="K256"/>
      <c r="M256"/>
    </row>
    <row r="257" spans="1:14">
      <c r="J257"/>
      <c r="K257"/>
      <c r="L257"/>
      <c r="M257"/>
    </row>
    <row r="258" spans="1:14">
      <c r="A258" s="46"/>
      <c r="J258"/>
      <c r="K258"/>
      <c r="L258"/>
      <c r="M258"/>
      <c r="N258"/>
    </row>
    <row r="259" spans="1:14">
      <c r="J259"/>
      <c r="K259"/>
      <c r="L259"/>
      <c r="M259"/>
    </row>
    <row r="260" spans="1:14">
      <c r="A260" s="46"/>
      <c r="K260"/>
      <c r="M260"/>
      <c r="N260"/>
    </row>
    <row r="261" spans="1:14">
      <c r="A261" s="46"/>
      <c r="J261"/>
      <c r="K261"/>
      <c r="L261"/>
      <c r="M261"/>
    </row>
    <row r="262" spans="1:14">
      <c r="A262" s="46"/>
      <c r="J262"/>
      <c r="K262"/>
      <c r="L262"/>
      <c r="M262"/>
      <c r="N262"/>
    </row>
    <row r="263" spans="1:14">
      <c r="A263" s="46"/>
      <c r="K263"/>
      <c r="M263"/>
      <c r="N263"/>
    </row>
    <row r="264" spans="1:14">
      <c r="A264" s="46"/>
      <c r="J264"/>
      <c r="K264"/>
      <c r="M264"/>
      <c r="N264"/>
    </row>
    <row r="265" spans="1:14">
      <c r="A265" s="46"/>
      <c r="K265"/>
      <c r="M265"/>
    </row>
    <row r="266" spans="1:14">
      <c r="J266"/>
      <c r="K266"/>
      <c r="L266"/>
      <c r="M266"/>
    </row>
    <row r="267" spans="1:14">
      <c r="A267" s="46"/>
      <c r="K267"/>
      <c r="M267"/>
    </row>
    <row r="268" spans="1:14">
      <c r="J268"/>
      <c r="K268"/>
      <c r="L268"/>
      <c r="M268"/>
      <c r="N268"/>
    </row>
    <row r="269" spans="1:14">
      <c r="A269" s="46"/>
      <c r="B269"/>
      <c r="J269"/>
      <c r="K269"/>
      <c r="L269"/>
      <c r="M269"/>
    </row>
    <row r="270" spans="1:14">
      <c r="M270"/>
      <c r="N270"/>
    </row>
    <row r="271" spans="1:14">
      <c r="M271"/>
      <c r="N271"/>
    </row>
    <row r="272" spans="1:14">
      <c r="M272"/>
    </row>
    <row r="273" spans="1:14">
      <c r="M273"/>
    </row>
    <row r="274" spans="1:14">
      <c r="J274"/>
      <c r="K274"/>
      <c r="L274"/>
      <c r="M274"/>
    </row>
    <row r="275" spans="1:14">
      <c r="A275" s="46"/>
      <c r="M275"/>
    </row>
    <row r="276" spans="1:14">
      <c r="J276"/>
      <c r="K276"/>
      <c r="L276"/>
      <c r="M276"/>
      <c r="N276"/>
    </row>
    <row r="277" spans="1:14">
      <c r="J277"/>
      <c r="K277"/>
      <c r="L277"/>
      <c r="M277"/>
    </row>
    <row r="278" spans="1:14">
      <c r="J278"/>
      <c r="K278"/>
      <c r="L278"/>
      <c r="M278"/>
      <c r="N278"/>
    </row>
    <row r="279" spans="1:14">
      <c r="A279" s="57"/>
      <c r="B279" s="57"/>
      <c r="J279"/>
      <c r="K279"/>
      <c r="L279"/>
      <c r="M279"/>
      <c r="N279"/>
    </row>
    <row r="280" spans="1:14">
      <c r="E280" s="42"/>
      <c r="F280" s="43"/>
    </row>
    <row r="281" spans="1:14">
      <c r="A281" s="41"/>
      <c r="B281" s="41"/>
      <c r="N281"/>
    </row>
    <row r="282" spans="1:14">
      <c r="B282" s="44"/>
      <c r="C282" s="44"/>
      <c r="D282" s="44"/>
      <c r="E282" s="44"/>
      <c r="F282" s="44"/>
    </row>
    <row r="283" spans="1:14">
      <c r="B283" s="45"/>
      <c r="C283" s="44"/>
      <c r="D283" s="44"/>
      <c r="E283" s="44"/>
      <c r="F283" s="44"/>
    </row>
    <row r="284" spans="1:14">
      <c r="B284" s="45"/>
      <c r="C284" s="44"/>
      <c r="D284" s="44"/>
      <c r="E284" s="44"/>
      <c r="F284" s="44"/>
    </row>
    <row r="285" spans="1:14">
      <c r="A285" s="46"/>
      <c r="G285" s="41"/>
    </row>
    <row r="286" spans="1:14">
      <c r="I286" s="47"/>
      <c r="M286" s="45"/>
    </row>
    <row r="287" spans="1:14">
      <c r="A287" s="46"/>
      <c r="I287" s="48"/>
      <c r="J287" s="49"/>
      <c r="K287" s="45"/>
      <c r="L287" s="45"/>
      <c r="M287" s="45"/>
    </row>
    <row r="288" spans="1:14">
      <c r="A288" s="46"/>
      <c r="H288" s="50"/>
      <c r="J288" s="51"/>
      <c r="K288" s="52"/>
      <c r="M288" s="52"/>
    </row>
    <row r="289" spans="1:13">
      <c r="A289" s="46"/>
      <c r="K289" s="33"/>
      <c r="L289" s="33"/>
      <c r="M289" s="7"/>
    </row>
    <row r="290" spans="1:13">
      <c r="A290" s="46"/>
      <c r="G290" s="53"/>
      <c r="J290"/>
      <c r="K290"/>
      <c r="M290"/>
    </row>
    <row r="291" spans="1:13">
      <c r="A291" s="46"/>
      <c r="G291" s="54"/>
      <c r="J291"/>
      <c r="K291" s="17"/>
      <c r="M291" s="17"/>
    </row>
    <row r="292" spans="1:13">
      <c r="A292" s="46"/>
      <c r="G292" s="53"/>
      <c r="J292"/>
      <c r="K292"/>
      <c r="M292"/>
    </row>
    <row r="293" spans="1:13">
      <c r="G293" s="53"/>
      <c r="J293"/>
      <c r="K293" s="17"/>
      <c r="M293" s="17"/>
    </row>
    <row r="294" spans="1:13">
      <c r="A294" s="46"/>
      <c r="G294" s="53"/>
      <c r="J294"/>
      <c r="K294" s="17"/>
      <c r="M294" s="17"/>
    </row>
    <row r="295" spans="1:13">
      <c r="A295" s="46"/>
      <c r="G295" s="55"/>
      <c r="J295"/>
      <c r="K295"/>
      <c r="M295"/>
    </row>
    <row r="296" spans="1:13">
      <c r="A296" s="46"/>
      <c r="G296" s="55"/>
      <c r="K296"/>
      <c r="M296"/>
    </row>
    <row r="297" spans="1:13">
      <c r="J297"/>
      <c r="K297"/>
      <c r="L297"/>
      <c r="M297"/>
    </row>
    <row r="298" spans="1:13">
      <c r="A298" s="46"/>
      <c r="J298"/>
      <c r="K298"/>
      <c r="L298"/>
      <c r="M298"/>
    </row>
    <row r="299" spans="1:13">
      <c r="A299" s="46"/>
      <c r="G299" s="56"/>
      <c r="J299"/>
      <c r="K299"/>
      <c r="M299"/>
    </row>
    <row r="300" spans="1:13">
      <c r="A300" s="46"/>
      <c r="G300" s="56"/>
      <c r="J300"/>
      <c r="K300"/>
      <c r="M300"/>
    </row>
    <row r="301" spans="1:13">
      <c r="A301" s="46"/>
      <c r="J301"/>
      <c r="K301"/>
      <c r="M301"/>
    </row>
    <row r="302" spans="1:13">
      <c r="A302" s="46"/>
      <c r="J302"/>
      <c r="K302"/>
      <c r="M302"/>
    </row>
    <row r="303" spans="1:13">
      <c r="J303"/>
      <c r="K303"/>
      <c r="L303"/>
      <c r="M303"/>
    </row>
    <row r="304" spans="1:13">
      <c r="A304" s="46"/>
      <c r="J304"/>
      <c r="K304"/>
      <c r="L304"/>
      <c r="M304"/>
    </row>
    <row r="305" spans="1:13">
      <c r="J305"/>
      <c r="K305"/>
      <c r="L305"/>
      <c r="M305"/>
    </row>
    <row r="306" spans="1:13">
      <c r="A306" s="46"/>
      <c r="K306"/>
      <c r="M306"/>
    </row>
    <row r="307" spans="1:13">
      <c r="A307" s="46"/>
      <c r="J307"/>
      <c r="K307"/>
      <c r="L307"/>
      <c r="M307"/>
    </row>
    <row r="308" spans="1:13">
      <c r="A308" s="46"/>
      <c r="J308"/>
      <c r="K308"/>
      <c r="L308"/>
      <c r="M308"/>
    </row>
    <row r="309" spans="1:13">
      <c r="A309" s="46"/>
      <c r="K309"/>
      <c r="M309"/>
    </row>
    <row r="310" spans="1:13">
      <c r="A310" s="46"/>
      <c r="J310"/>
      <c r="K310"/>
      <c r="M310"/>
    </row>
    <row r="311" spans="1:13">
      <c r="A311" s="46"/>
      <c r="K311"/>
      <c r="M311"/>
    </row>
    <row r="312" spans="1:13">
      <c r="J312"/>
      <c r="K312"/>
      <c r="L312"/>
      <c r="M312"/>
    </row>
    <row r="313" spans="1:13">
      <c r="A313" s="46"/>
      <c r="K313"/>
      <c r="M313"/>
    </row>
    <row r="314" spans="1:13">
      <c r="J314"/>
      <c r="K314"/>
      <c r="L314"/>
      <c r="M314"/>
    </row>
    <row r="315" spans="1:13">
      <c r="A315" s="46"/>
      <c r="B315"/>
      <c r="J315"/>
      <c r="K315"/>
      <c r="L315"/>
      <c r="M315"/>
    </row>
    <row r="316" spans="1:13">
      <c r="M316"/>
    </row>
    <row r="317" spans="1:13">
      <c r="M317"/>
    </row>
    <row r="318" spans="1:13">
      <c r="M318"/>
    </row>
    <row r="319" spans="1:13">
      <c r="M319"/>
    </row>
    <row r="320" spans="1:13">
      <c r="J320"/>
      <c r="K320"/>
      <c r="L320"/>
      <c r="M320"/>
    </row>
    <row r="321" spans="1:13">
      <c r="A321" s="46"/>
      <c r="M321"/>
    </row>
    <row r="322" spans="1:13">
      <c r="J322"/>
      <c r="K322"/>
      <c r="L322"/>
      <c r="M322"/>
    </row>
    <row r="323" spans="1:13">
      <c r="J323"/>
      <c r="K323"/>
      <c r="L323"/>
      <c r="M323"/>
    </row>
    <row r="324" spans="1:13">
      <c r="J324"/>
      <c r="K324"/>
      <c r="L324"/>
      <c r="M324"/>
    </row>
    <row r="325" spans="1:13">
      <c r="A325" s="57"/>
      <c r="B325" s="57"/>
      <c r="J325"/>
      <c r="K325"/>
      <c r="L325"/>
      <c r="M325"/>
    </row>
    <row r="326" spans="1:13">
      <c r="E326" s="42"/>
      <c r="F326" s="43"/>
    </row>
    <row r="327" spans="1:13">
      <c r="A327" s="41"/>
      <c r="B327" s="41"/>
    </row>
    <row r="328" spans="1:13">
      <c r="B328" s="44"/>
      <c r="C328" s="44"/>
      <c r="D328" s="44"/>
      <c r="E328" s="44"/>
      <c r="F328" s="44"/>
    </row>
    <row r="329" spans="1:13">
      <c r="B329" s="45"/>
      <c r="C329" s="44"/>
      <c r="D329" s="44"/>
      <c r="E329" s="44"/>
      <c r="F329" s="44"/>
    </row>
    <row r="330" spans="1:13">
      <c r="B330" s="45"/>
      <c r="C330" s="44"/>
      <c r="D330" s="44"/>
      <c r="E330" s="44"/>
      <c r="F330" s="44"/>
    </row>
    <row r="331" spans="1:13">
      <c r="A331" s="46"/>
      <c r="G331" s="41"/>
    </row>
    <row r="332" spans="1:13">
      <c r="I332" s="47"/>
      <c r="M332" s="45"/>
    </row>
    <row r="333" spans="1:13">
      <c r="A333" s="46"/>
      <c r="I333" s="48"/>
      <c r="J333" s="49"/>
      <c r="K333" s="45"/>
      <c r="L333" s="45"/>
      <c r="M333" s="45"/>
    </row>
    <row r="334" spans="1:13">
      <c r="A334" s="46"/>
      <c r="H334" s="50"/>
      <c r="J334" s="51"/>
      <c r="K334" s="52"/>
      <c r="M334" s="52"/>
    </row>
    <row r="335" spans="1:13">
      <c r="A335" s="46"/>
      <c r="K335" s="33"/>
      <c r="L335" s="33"/>
      <c r="M335" s="7"/>
    </row>
    <row r="336" spans="1:13">
      <c r="A336" s="46"/>
      <c r="G336" s="53"/>
      <c r="J336"/>
      <c r="K336"/>
      <c r="M336"/>
    </row>
    <row r="337" spans="1:13">
      <c r="A337" s="46"/>
      <c r="G337" s="54"/>
      <c r="J337"/>
      <c r="K337" s="17"/>
      <c r="M337" s="17"/>
    </row>
    <row r="338" spans="1:13">
      <c r="A338" s="46"/>
      <c r="G338" s="53"/>
      <c r="J338"/>
      <c r="K338"/>
      <c r="M338"/>
    </row>
    <row r="339" spans="1:13">
      <c r="G339" s="53"/>
      <c r="J339"/>
      <c r="K339" s="17"/>
      <c r="M339" s="17"/>
    </row>
    <row r="340" spans="1:13">
      <c r="A340" s="46"/>
      <c r="G340" s="53"/>
      <c r="J340"/>
      <c r="K340" s="17"/>
      <c r="M340" s="17"/>
    </row>
    <row r="341" spans="1:13">
      <c r="A341" s="46"/>
      <c r="G341" s="55"/>
      <c r="J341"/>
      <c r="K341"/>
      <c r="M341"/>
    </row>
    <row r="342" spans="1:13">
      <c r="A342" s="46"/>
      <c r="G342" s="55"/>
      <c r="K342"/>
      <c r="M342"/>
    </row>
    <row r="343" spans="1:13">
      <c r="J343"/>
      <c r="K343"/>
      <c r="L343"/>
      <c r="M343"/>
    </row>
    <row r="344" spans="1:13">
      <c r="A344" s="46"/>
      <c r="J344"/>
      <c r="K344"/>
      <c r="L344"/>
      <c r="M344"/>
    </row>
    <row r="345" spans="1:13">
      <c r="A345" s="46"/>
      <c r="G345" s="56"/>
      <c r="J345"/>
      <c r="K345"/>
      <c r="M345"/>
    </row>
    <row r="346" spans="1:13">
      <c r="A346" s="46"/>
      <c r="G346" s="56"/>
      <c r="J346"/>
      <c r="K346"/>
      <c r="M346"/>
    </row>
    <row r="347" spans="1:13">
      <c r="A347" s="46"/>
      <c r="J347"/>
      <c r="K347"/>
      <c r="M347"/>
    </row>
    <row r="348" spans="1:13">
      <c r="A348" s="46"/>
      <c r="J348"/>
      <c r="K348"/>
      <c r="M348"/>
    </row>
    <row r="349" spans="1:13">
      <c r="J349"/>
      <c r="K349"/>
      <c r="L349"/>
      <c r="M349"/>
    </row>
    <row r="350" spans="1:13">
      <c r="A350" s="46"/>
      <c r="J350"/>
      <c r="K350"/>
      <c r="L350"/>
      <c r="M350"/>
    </row>
    <row r="351" spans="1:13">
      <c r="J351"/>
      <c r="K351"/>
      <c r="L351"/>
      <c r="M351"/>
    </row>
    <row r="352" spans="1:13">
      <c r="A352" s="46"/>
      <c r="K352"/>
      <c r="M352"/>
    </row>
    <row r="353" spans="1:13">
      <c r="A353" s="46"/>
      <c r="J353"/>
      <c r="K353"/>
      <c r="L353"/>
      <c r="M353"/>
    </row>
    <row r="354" spans="1:13">
      <c r="A354" s="46"/>
      <c r="J354"/>
      <c r="K354"/>
      <c r="L354"/>
      <c r="M354"/>
    </row>
    <row r="355" spans="1:13">
      <c r="A355" s="46"/>
      <c r="K355"/>
      <c r="M355"/>
    </row>
    <row r="356" spans="1:13">
      <c r="A356" s="46"/>
      <c r="J356"/>
      <c r="K356"/>
      <c r="M356"/>
    </row>
    <row r="357" spans="1:13">
      <c r="A357" s="46"/>
      <c r="K357"/>
      <c r="M357"/>
    </row>
    <row r="358" spans="1:13">
      <c r="J358"/>
      <c r="K358"/>
      <c r="L358"/>
      <c r="M358"/>
    </row>
    <row r="359" spans="1:13">
      <c r="A359" s="46"/>
      <c r="K359"/>
      <c r="M359"/>
    </row>
    <row r="360" spans="1:13">
      <c r="J360"/>
      <c r="K360"/>
      <c r="L360"/>
      <c r="M360"/>
    </row>
    <row r="361" spans="1:13">
      <c r="A361" s="46"/>
      <c r="B361"/>
      <c r="J361"/>
      <c r="K361"/>
      <c r="L361"/>
      <c r="M361"/>
    </row>
    <row r="362" spans="1:13">
      <c r="M362"/>
    </row>
    <row r="363" spans="1:13">
      <c r="M363"/>
    </row>
    <row r="364" spans="1:13">
      <c r="M364"/>
    </row>
    <row r="365" spans="1:13">
      <c r="M365"/>
    </row>
    <row r="366" spans="1:13">
      <c r="J366"/>
      <c r="K366"/>
      <c r="L366"/>
      <c r="M366"/>
    </row>
    <row r="367" spans="1:13">
      <c r="A367" s="46"/>
      <c r="M367"/>
    </row>
    <row r="368" spans="1:13">
      <c r="J368"/>
      <c r="K368"/>
      <c r="L368"/>
      <c r="M368"/>
    </row>
    <row r="369" spans="1:13">
      <c r="J369"/>
      <c r="K369"/>
      <c r="L369"/>
      <c r="M369"/>
    </row>
    <row r="370" spans="1:13">
      <c r="J370"/>
      <c r="K370"/>
      <c r="L370"/>
      <c r="M370"/>
    </row>
    <row r="371" spans="1:13">
      <c r="A371" s="57"/>
      <c r="B371" s="57"/>
      <c r="J371"/>
      <c r="K371"/>
      <c r="L371"/>
      <c r="M371"/>
    </row>
    <row r="372" spans="1:13">
      <c r="E372" s="42"/>
      <c r="F372" s="43"/>
    </row>
    <row r="373" spans="1:13">
      <c r="A373" s="41"/>
      <c r="B373" s="41"/>
    </row>
    <row r="374" spans="1:13">
      <c r="B374" s="44"/>
      <c r="C374" s="44"/>
      <c r="D374" s="44"/>
      <c r="E374" s="44"/>
      <c r="F374" s="44"/>
    </row>
    <row r="375" spans="1:13">
      <c r="B375" s="45"/>
      <c r="C375" s="44"/>
      <c r="D375" s="44"/>
      <c r="E375" s="44"/>
      <c r="F375" s="44"/>
    </row>
    <row r="376" spans="1:13">
      <c r="B376" s="45"/>
      <c r="C376" s="44"/>
      <c r="D376" s="44"/>
      <c r="E376" s="44"/>
      <c r="F376" s="44"/>
    </row>
    <row r="377" spans="1:13">
      <c r="A377" s="46"/>
      <c r="G377" s="41"/>
    </row>
    <row r="378" spans="1:13">
      <c r="I378" s="47"/>
      <c r="M378" s="45"/>
    </row>
    <row r="379" spans="1:13">
      <c r="A379" s="46"/>
      <c r="I379" s="48"/>
      <c r="J379" s="49"/>
      <c r="K379" s="45"/>
      <c r="L379" s="45"/>
      <c r="M379" s="45"/>
    </row>
    <row r="380" spans="1:13">
      <c r="A380" s="46"/>
      <c r="H380" s="50"/>
      <c r="J380" s="51"/>
      <c r="K380" s="52"/>
      <c r="M380" s="52"/>
    </row>
    <row r="381" spans="1:13">
      <c r="A381" s="46"/>
      <c r="K381" s="33"/>
      <c r="L381" s="33"/>
      <c r="M381" s="7"/>
    </row>
    <row r="382" spans="1:13">
      <c r="A382" s="46"/>
      <c r="G382" s="53"/>
      <c r="J382"/>
      <c r="K382"/>
      <c r="M382"/>
    </row>
    <row r="383" spans="1:13">
      <c r="A383" s="46"/>
      <c r="G383" s="54"/>
      <c r="J383"/>
      <c r="K383" s="17"/>
      <c r="M383" s="17"/>
    </row>
    <row r="384" spans="1:13">
      <c r="A384" s="46"/>
      <c r="G384" s="53"/>
      <c r="J384"/>
      <c r="K384"/>
      <c r="M384"/>
    </row>
    <row r="385" spans="1:13">
      <c r="G385" s="53"/>
      <c r="J385"/>
      <c r="K385" s="17"/>
      <c r="M385" s="17"/>
    </row>
    <row r="386" spans="1:13">
      <c r="A386" s="46"/>
      <c r="G386" s="53"/>
      <c r="J386"/>
      <c r="K386" s="17"/>
      <c r="M386" s="17"/>
    </row>
    <row r="387" spans="1:13">
      <c r="A387" s="46"/>
      <c r="G387" s="55"/>
      <c r="J387"/>
      <c r="K387"/>
      <c r="M387"/>
    </row>
    <row r="388" spans="1:13">
      <c r="A388" s="46"/>
      <c r="G388" s="55"/>
      <c r="K388"/>
      <c r="M388"/>
    </row>
    <row r="389" spans="1:13">
      <c r="J389"/>
      <c r="K389"/>
      <c r="L389"/>
      <c r="M389"/>
    </row>
    <row r="390" spans="1:13">
      <c r="A390" s="46"/>
      <c r="J390"/>
      <c r="K390"/>
      <c r="L390"/>
      <c r="M390"/>
    </row>
    <row r="391" spans="1:13">
      <c r="A391" s="46"/>
      <c r="G391" s="56"/>
      <c r="J391"/>
      <c r="K391"/>
      <c r="M391"/>
    </row>
    <row r="392" spans="1:13">
      <c r="A392" s="46"/>
      <c r="G392" s="56"/>
      <c r="J392"/>
      <c r="K392"/>
      <c r="M392"/>
    </row>
    <row r="393" spans="1:13">
      <c r="A393" s="46"/>
      <c r="J393"/>
      <c r="K393"/>
      <c r="M393"/>
    </row>
    <row r="394" spans="1:13">
      <c r="A394" s="46"/>
      <c r="J394"/>
      <c r="K394"/>
      <c r="M394"/>
    </row>
    <row r="395" spans="1:13">
      <c r="J395"/>
      <c r="K395"/>
      <c r="L395"/>
      <c r="M395"/>
    </row>
    <row r="396" spans="1:13">
      <c r="A396" s="46"/>
      <c r="J396"/>
      <c r="K396"/>
      <c r="L396"/>
      <c r="M396"/>
    </row>
    <row r="397" spans="1:13">
      <c r="J397"/>
      <c r="K397"/>
      <c r="L397"/>
      <c r="M397"/>
    </row>
    <row r="398" spans="1:13">
      <c r="A398" s="46"/>
      <c r="K398"/>
      <c r="M398"/>
    </row>
    <row r="399" spans="1:13">
      <c r="A399" s="46"/>
      <c r="J399"/>
      <c r="K399"/>
      <c r="L399"/>
      <c r="M399"/>
    </row>
    <row r="400" spans="1:13">
      <c r="A400" s="46"/>
      <c r="J400"/>
      <c r="K400"/>
      <c r="L400"/>
      <c r="M400"/>
    </row>
    <row r="401" spans="1:13">
      <c r="A401" s="46"/>
      <c r="K401"/>
      <c r="M401"/>
    </row>
    <row r="402" spans="1:13">
      <c r="A402" s="46"/>
      <c r="J402"/>
      <c r="K402"/>
      <c r="M402"/>
    </row>
    <row r="403" spans="1:13">
      <c r="A403" s="46"/>
      <c r="K403"/>
      <c r="M403"/>
    </row>
    <row r="404" spans="1:13">
      <c r="J404"/>
      <c r="K404"/>
      <c r="L404"/>
      <c r="M404"/>
    </row>
    <row r="405" spans="1:13">
      <c r="A405" s="46"/>
      <c r="K405"/>
      <c r="M405"/>
    </row>
    <row r="406" spans="1:13">
      <c r="J406"/>
      <c r="K406"/>
      <c r="L406"/>
      <c r="M406"/>
    </row>
    <row r="407" spans="1:13">
      <c r="A407" s="46"/>
      <c r="B407"/>
      <c r="J407"/>
      <c r="K407"/>
      <c r="L407"/>
      <c r="M407"/>
    </row>
    <row r="408" spans="1:13">
      <c r="M408"/>
    </row>
    <row r="409" spans="1:13">
      <c r="M409"/>
    </row>
    <row r="410" spans="1:13">
      <c r="M410"/>
    </row>
    <row r="411" spans="1:13">
      <c r="M411"/>
    </row>
    <row r="412" spans="1:13">
      <c r="J412"/>
      <c r="K412"/>
      <c r="L412"/>
      <c r="M412"/>
    </row>
    <row r="413" spans="1:13">
      <c r="A413" s="46"/>
      <c r="M413"/>
    </row>
    <row r="414" spans="1:13">
      <c r="J414"/>
      <c r="K414"/>
      <c r="L414"/>
      <c r="M414"/>
    </row>
    <row r="415" spans="1:13">
      <c r="J415"/>
      <c r="K415"/>
      <c r="L415"/>
      <c r="M415"/>
    </row>
    <row r="416" spans="1:13">
      <c r="J416"/>
      <c r="K416"/>
      <c r="L416"/>
      <c r="M416"/>
    </row>
    <row r="417" spans="1:13">
      <c r="A417" s="57"/>
      <c r="B417" s="57"/>
      <c r="J417"/>
      <c r="K417"/>
      <c r="L417"/>
      <c r="M417"/>
    </row>
    <row r="418" spans="1:13">
      <c r="E418" s="42"/>
      <c r="F418" s="43"/>
    </row>
    <row r="419" spans="1:13">
      <c r="A419" s="41"/>
      <c r="B419" s="41"/>
    </row>
    <row r="420" spans="1:13">
      <c r="B420" s="44"/>
      <c r="C420" s="44"/>
      <c r="D420" s="44"/>
      <c r="E420" s="44"/>
      <c r="F420" s="44"/>
    </row>
    <row r="421" spans="1:13">
      <c r="B421" s="45"/>
      <c r="C421" s="44"/>
      <c r="D421" s="44"/>
      <c r="E421" s="44"/>
      <c r="F421" s="44"/>
    </row>
    <row r="422" spans="1:13">
      <c r="B422" s="45"/>
      <c r="C422" s="44"/>
      <c r="D422" s="44"/>
      <c r="E422" s="44"/>
      <c r="F422" s="44"/>
    </row>
    <row r="423" spans="1:13">
      <c r="A423" s="46"/>
      <c r="G423" s="41"/>
    </row>
    <row r="424" spans="1:13">
      <c r="I424" s="47"/>
      <c r="M424" s="45"/>
    </row>
    <row r="425" spans="1:13">
      <c r="A425" s="46"/>
      <c r="I425" s="48"/>
      <c r="J425" s="49"/>
      <c r="K425" s="45"/>
      <c r="L425" s="45"/>
      <c r="M425" s="45"/>
    </row>
    <row r="426" spans="1:13">
      <c r="A426" s="46"/>
      <c r="H426" s="50"/>
      <c r="J426" s="51"/>
      <c r="K426" s="52"/>
      <c r="M426" s="52"/>
    </row>
    <row r="427" spans="1:13">
      <c r="A427" s="46"/>
      <c r="K427" s="33"/>
      <c r="L427" s="33"/>
      <c r="M427" s="7"/>
    </row>
    <row r="428" spans="1:13">
      <c r="A428" s="46"/>
      <c r="G428" s="53"/>
      <c r="J428"/>
      <c r="K428"/>
      <c r="M428"/>
    </row>
    <row r="429" spans="1:13">
      <c r="A429" s="46"/>
      <c r="G429" s="54"/>
      <c r="J429"/>
      <c r="K429" s="17"/>
      <c r="M429" s="17"/>
    </row>
    <row r="430" spans="1:13">
      <c r="A430" s="46"/>
      <c r="G430" s="53"/>
      <c r="J430"/>
      <c r="K430"/>
      <c r="M430"/>
    </row>
    <row r="431" spans="1:13">
      <c r="G431" s="53"/>
      <c r="J431"/>
      <c r="K431" s="17"/>
      <c r="M431" s="17"/>
    </row>
    <row r="432" spans="1:13">
      <c r="A432" s="46"/>
      <c r="G432" s="53"/>
      <c r="J432"/>
      <c r="K432" s="17"/>
      <c r="M432" s="17"/>
    </row>
    <row r="433" spans="1:13">
      <c r="A433" s="46"/>
      <c r="G433" s="55"/>
      <c r="J433"/>
      <c r="K433"/>
      <c r="M433"/>
    </row>
    <row r="434" spans="1:13">
      <c r="A434" s="46"/>
      <c r="G434" s="55"/>
      <c r="K434"/>
      <c r="M434"/>
    </row>
    <row r="435" spans="1:13">
      <c r="J435"/>
      <c r="K435"/>
      <c r="L435"/>
      <c r="M435"/>
    </row>
    <row r="436" spans="1:13">
      <c r="A436" s="46"/>
      <c r="J436"/>
      <c r="K436"/>
      <c r="L436"/>
      <c r="M436"/>
    </row>
    <row r="437" spans="1:13">
      <c r="A437" s="46"/>
      <c r="G437" s="56"/>
      <c r="J437"/>
      <c r="K437"/>
      <c r="M437"/>
    </row>
    <row r="438" spans="1:13">
      <c r="A438" s="46"/>
      <c r="G438" s="56"/>
      <c r="J438"/>
      <c r="K438"/>
      <c r="M438"/>
    </row>
    <row r="439" spans="1:13">
      <c r="A439" s="46"/>
      <c r="J439"/>
      <c r="K439"/>
      <c r="M439"/>
    </row>
    <row r="440" spans="1:13">
      <c r="A440" s="46"/>
      <c r="J440"/>
      <c r="K440"/>
      <c r="M440"/>
    </row>
    <row r="441" spans="1:13">
      <c r="J441"/>
      <c r="K441"/>
      <c r="L441"/>
      <c r="M441"/>
    </row>
    <row r="442" spans="1:13">
      <c r="A442" s="46"/>
      <c r="J442"/>
      <c r="K442"/>
      <c r="L442"/>
      <c r="M442"/>
    </row>
    <row r="443" spans="1:13">
      <c r="J443"/>
      <c r="K443"/>
      <c r="L443"/>
      <c r="M443"/>
    </row>
    <row r="444" spans="1:13">
      <c r="A444" s="46"/>
      <c r="K444"/>
      <c r="M444"/>
    </row>
    <row r="445" spans="1:13">
      <c r="A445" s="46"/>
      <c r="J445"/>
      <c r="K445"/>
      <c r="L445"/>
      <c r="M445"/>
    </row>
    <row r="446" spans="1:13">
      <c r="A446" s="46"/>
      <c r="J446"/>
      <c r="K446"/>
      <c r="L446"/>
      <c r="M446"/>
    </row>
    <row r="447" spans="1:13">
      <c r="A447" s="46"/>
      <c r="K447"/>
      <c r="M447"/>
    </row>
    <row r="448" spans="1:13">
      <c r="A448" s="46"/>
      <c r="J448"/>
      <c r="K448"/>
      <c r="M448"/>
    </row>
    <row r="449" spans="1:13">
      <c r="A449" s="46"/>
      <c r="K449"/>
      <c r="M449"/>
    </row>
    <row r="450" spans="1:13">
      <c r="J450"/>
      <c r="K450"/>
      <c r="L450"/>
      <c r="M450"/>
    </row>
    <row r="451" spans="1:13">
      <c r="A451" s="46"/>
      <c r="K451"/>
      <c r="M451"/>
    </row>
    <row r="452" spans="1:13">
      <c r="J452"/>
      <c r="K452"/>
      <c r="L452"/>
      <c r="M452"/>
    </row>
    <row r="453" spans="1:13">
      <c r="A453" s="46"/>
      <c r="B453"/>
      <c r="J453"/>
      <c r="K453"/>
      <c r="L453"/>
      <c r="M453"/>
    </row>
    <row r="454" spans="1:13">
      <c r="M454"/>
    </row>
    <row r="455" spans="1:13">
      <c r="M455"/>
    </row>
    <row r="456" spans="1:13">
      <c r="M456"/>
    </row>
    <row r="457" spans="1:13">
      <c r="M457"/>
    </row>
    <row r="458" spans="1:13">
      <c r="J458"/>
      <c r="K458"/>
      <c r="L458"/>
      <c r="M458"/>
    </row>
    <row r="459" spans="1:13">
      <c r="A459" s="46"/>
      <c r="M459"/>
    </row>
    <row r="460" spans="1:13">
      <c r="J460"/>
      <c r="K460"/>
      <c r="L460"/>
      <c r="M460"/>
    </row>
    <row r="461" spans="1:13">
      <c r="J461"/>
      <c r="K461"/>
      <c r="L461"/>
      <c r="M461"/>
    </row>
    <row r="462" spans="1:13">
      <c r="J462"/>
      <c r="K462"/>
      <c r="L462"/>
      <c r="M462"/>
    </row>
    <row r="463" spans="1:13">
      <c r="A463" s="57"/>
      <c r="B463" s="57"/>
      <c r="J463"/>
      <c r="K463"/>
      <c r="L463"/>
      <c r="M463"/>
    </row>
    <row r="464" spans="1:13">
      <c r="E464" s="42"/>
      <c r="F464" s="43"/>
    </row>
    <row r="465" spans="1:13">
      <c r="A465" s="41"/>
      <c r="B465" s="41"/>
    </row>
    <row r="466" spans="1:13">
      <c r="B466" s="44"/>
      <c r="C466" s="44"/>
      <c r="D466" s="44"/>
      <c r="E466" s="44"/>
      <c r="F466" s="44"/>
    </row>
    <row r="467" spans="1:13">
      <c r="B467" s="45"/>
      <c r="C467" s="44"/>
      <c r="D467" s="44"/>
      <c r="E467" s="44"/>
      <c r="F467" s="44"/>
    </row>
    <row r="468" spans="1:13">
      <c r="B468" s="45"/>
      <c r="C468" s="44"/>
      <c r="D468" s="44"/>
      <c r="E468" s="44"/>
      <c r="F468" s="44"/>
    </row>
    <row r="469" spans="1:13">
      <c r="A469" s="46"/>
      <c r="G469" s="41"/>
    </row>
    <row r="470" spans="1:13">
      <c r="I470" s="47"/>
      <c r="M470" s="45"/>
    </row>
    <row r="471" spans="1:13">
      <c r="A471" s="46"/>
      <c r="I471" s="48"/>
      <c r="J471" s="49"/>
      <c r="K471" s="45"/>
      <c r="L471" s="45"/>
      <c r="M471" s="45"/>
    </row>
    <row r="472" spans="1:13">
      <c r="A472" s="46"/>
      <c r="H472" s="50"/>
      <c r="J472" s="51"/>
      <c r="K472" s="52"/>
      <c r="M472" s="52"/>
    </row>
    <row r="473" spans="1:13">
      <c r="A473" s="46"/>
      <c r="K473" s="33"/>
      <c r="L473" s="33"/>
      <c r="M473" s="7"/>
    </row>
    <row r="474" spans="1:13">
      <c r="A474" s="46"/>
      <c r="G474" s="53"/>
      <c r="J474"/>
      <c r="K474"/>
      <c r="M474"/>
    </row>
    <row r="475" spans="1:13">
      <c r="A475" s="46"/>
      <c r="G475" s="54"/>
      <c r="J475"/>
      <c r="K475" s="17"/>
      <c r="M475" s="17"/>
    </row>
    <row r="476" spans="1:13">
      <c r="A476" s="46"/>
      <c r="G476" s="53"/>
      <c r="J476"/>
      <c r="K476"/>
      <c r="M476"/>
    </row>
    <row r="477" spans="1:13">
      <c r="G477" s="53"/>
      <c r="J477"/>
      <c r="K477" s="17"/>
      <c r="M477" s="17"/>
    </row>
    <row r="478" spans="1:13">
      <c r="A478" s="46"/>
      <c r="G478" s="53"/>
      <c r="J478"/>
      <c r="K478" s="17"/>
      <c r="M478" s="17"/>
    </row>
    <row r="479" spans="1:13">
      <c r="A479" s="46"/>
      <c r="G479" s="55"/>
      <c r="J479"/>
      <c r="K479"/>
      <c r="M479"/>
    </row>
    <row r="480" spans="1:13">
      <c r="A480" s="46"/>
      <c r="G480" s="55"/>
      <c r="K480"/>
      <c r="M480"/>
    </row>
    <row r="481" spans="1:13">
      <c r="J481"/>
      <c r="K481"/>
      <c r="L481"/>
      <c r="M481"/>
    </row>
    <row r="482" spans="1:13">
      <c r="A482" s="46"/>
      <c r="J482"/>
      <c r="K482"/>
      <c r="L482"/>
      <c r="M482"/>
    </row>
    <row r="483" spans="1:13">
      <c r="A483" s="46"/>
      <c r="G483" s="56"/>
      <c r="J483"/>
      <c r="K483"/>
      <c r="M483"/>
    </row>
    <row r="484" spans="1:13">
      <c r="A484" s="46"/>
      <c r="G484" s="56"/>
      <c r="J484"/>
      <c r="K484"/>
      <c r="M484"/>
    </row>
    <row r="485" spans="1:13">
      <c r="A485" s="46"/>
      <c r="J485"/>
      <c r="K485"/>
      <c r="M485"/>
    </row>
    <row r="486" spans="1:13">
      <c r="A486" s="46"/>
      <c r="J486"/>
      <c r="K486"/>
      <c r="M486"/>
    </row>
    <row r="487" spans="1:13">
      <c r="J487"/>
      <c r="K487"/>
      <c r="L487"/>
      <c r="M487"/>
    </row>
    <row r="488" spans="1:13">
      <c r="A488" s="46"/>
      <c r="J488"/>
      <c r="K488"/>
      <c r="L488"/>
      <c r="M488"/>
    </row>
    <row r="489" spans="1:13">
      <c r="J489"/>
      <c r="K489"/>
      <c r="L489"/>
      <c r="M489"/>
    </row>
    <row r="490" spans="1:13">
      <c r="A490" s="46"/>
      <c r="K490"/>
      <c r="M490"/>
    </row>
    <row r="491" spans="1:13">
      <c r="A491" s="46"/>
      <c r="J491"/>
      <c r="K491"/>
      <c r="L491"/>
      <c r="M491"/>
    </row>
    <row r="492" spans="1:13">
      <c r="A492" s="46"/>
      <c r="J492"/>
      <c r="K492"/>
      <c r="L492"/>
      <c r="M492"/>
    </row>
    <row r="493" spans="1:13">
      <c r="A493" s="46"/>
      <c r="K493"/>
      <c r="M493"/>
    </row>
    <row r="494" spans="1:13">
      <c r="A494" s="46"/>
      <c r="J494"/>
      <c r="K494"/>
      <c r="M494"/>
    </row>
    <row r="495" spans="1:13">
      <c r="A495" s="46"/>
      <c r="K495"/>
      <c r="M495"/>
    </row>
    <row r="496" spans="1:13">
      <c r="J496"/>
      <c r="K496"/>
      <c r="L496"/>
      <c r="M496"/>
    </row>
    <row r="497" spans="1:13">
      <c r="A497" s="46"/>
      <c r="K497"/>
      <c r="M497"/>
    </row>
    <row r="498" spans="1:13">
      <c r="J498"/>
      <c r="K498"/>
      <c r="L498"/>
      <c r="M498"/>
    </row>
    <row r="499" spans="1:13">
      <c r="A499" s="46"/>
      <c r="B499"/>
      <c r="J499"/>
      <c r="K499"/>
      <c r="L499"/>
      <c r="M499"/>
    </row>
    <row r="500" spans="1:13">
      <c r="M500"/>
    </row>
    <row r="501" spans="1:13">
      <c r="M501"/>
    </row>
    <row r="502" spans="1:13">
      <c r="M502"/>
    </row>
    <row r="503" spans="1:13">
      <c r="M503"/>
    </row>
    <row r="504" spans="1:13">
      <c r="J504"/>
      <c r="K504"/>
      <c r="L504"/>
      <c r="M504"/>
    </row>
    <row r="505" spans="1:13">
      <c r="A505" s="46"/>
      <c r="M505"/>
    </row>
    <row r="506" spans="1:13">
      <c r="J506"/>
      <c r="K506"/>
      <c r="L506"/>
      <c r="M506"/>
    </row>
    <row r="507" spans="1:13">
      <c r="J507"/>
      <c r="K507"/>
      <c r="L507"/>
      <c r="M507"/>
    </row>
    <row r="508" spans="1:13">
      <c r="J508"/>
      <c r="K508"/>
      <c r="L508"/>
      <c r="M508"/>
    </row>
    <row r="509" spans="1:13">
      <c r="A509" s="57"/>
      <c r="B509" s="57"/>
      <c r="J509"/>
      <c r="K509"/>
      <c r="L509"/>
      <c r="M509"/>
    </row>
    <row r="510" spans="1:13">
      <c r="E510" s="42"/>
      <c r="F510" s="43"/>
    </row>
    <row r="511" spans="1:13">
      <c r="A511" s="41"/>
      <c r="B511" s="41"/>
    </row>
    <row r="512" spans="1:13">
      <c r="B512" s="44"/>
      <c r="C512" s="44"/>
      <c r="D512" s="44"/>
      <c r="E512" s="44"/>
      <c r="F512" s="44"/>
    </row>
    <row r="513" spans="1:13">
      <c r="B513" s="45"/>
      <c r="C513" s="44"/>
      <c r="D513" s="44"/>
      <c r="E513" s="44"/>
      <c r="F513" s="44"/>
    </row>
    <row r="514" spans="1:13">
      <c r="B514" s="45"/>
      <c r="C514" s="44"/>
      <c r="D514" s="44"/>
      <c r="E514" s="44"/>
      <c r="F514" s="44"/>
    </row>
    <row r="515" spans="1:13">
      <c r="A515" s="46"/>
      <c r="G515" s="41"/>
    </row>
    <row r="516" spans="1:13">
      <c r="I516" s="47"/>
      <c r="M516" s="45"/>
    </row>
    <row r="517" spans="1:13">
      <c r="A517" s="46"/>
      <c r="I517" s="48"/>
      <c r="J517" s="49"/>
      <c r="K517" s="45"/>
      <c r="L517" s="45"/>
      <c r="M517" s="45"/>
    </row>
    <row r="518" spans="1:13">
      <c r="A518" s="46"/>
      <c r="H518" s="50"/>
      <c r="J518" s="51"/>
      <c r="K518" s="52"/>
      <c r="M518" s="52"/>
    </row>
    <row r="519" spans="1:13">
      <c r="A519" s="46"/>
      <c r="K519" s="33"/>
      <c r="L519" s="33"/>
      <c r="M519" s="7"/>
    </row>
    <row r="520" spans="1:13">
      <c r="A520" s="46"/>
      <c r="G520" s="53"/>
      <c r="J520"/>
      <c r="K520"/>
      <c r="M520"/>
    </row>
    <row r="521" spans="1:13">
      <c r="A521" s="46"/>
      <c r="G521" s="54"/>
      <c r="J521"/>
      <c r="K521" s="17"/>
      <c r="M521" s="17"/>
    </row>
    <row r="522" spans="1:13">
      <c r="A522" s="46"/>
      <c r="G522" s="53"/>
      <c r="J522"/>
      <c r="K522"/>
      <c r="M522"/>
    </row>
    <row r="523" spans="1:13">
      <c r="G523" s="53"/>
      <c r="J523"/>
      <c r="K523" s="17"/>
      <c r="M523" s="17"/>
    </row>
    <row r="524" spans="1:13">
      <c r="A524" s="46"/>
      <c r="G524" s="53"/>
      <c r="J524"/>
      <c r="K524" s="17"/>
      <c r="M524" s="17"/>
    </row>
    <row r="525" spans="1:13">
      <c r="A525" s="46"/>
      <c r="G525" s="55"/>
      <c r="J525"/>
      <c r="K525"/>
      <c r="M525"/>
    </row>
    <row r="526" spans="1:13">
      <c r="A526" s="46"/>
      <c r="G526" s="55"/>
      <c r="K526"/>
      <c r="M526"/>
    </row>
    <row r="527" spans="1:13">
      <c r="J527"/>
      <c r="K527"/>
      <c r="L527"/>
      <c r="M527"/>
    </row>
    <row r="528" spans="1:13">
      <c r="A528" s="46"/>
      <c r="J528"/>
      <c r="K528"/>
      <c r="L528"/>
      <c r="M528"/>
    </row>
    <row r="529" spans="1:13">
      <c r="A529" s="46"/>
      <c r="G529" s="56"/>
      <c r="J529"/>
      <c r="K529"/>
      <c r="M529"/>
    </row>
    <row r="530" spans="1:13">
      <c r="A530" s="46"/>
      <c r="G530" s="56"/>
      <c r="J530"/>
      <c r="K530"/>
      <c r="M530"/>
    </row>
    <row r="531" spans="1:13">
      <c r="A531" s="46"/>
      <c r="J531"/>
      <c r="K531"/>
      <c r="M531"/>
    </row>
    <row r="532" spans="1:13">
      <c r="A532" s="46"/>
      <c r="J532"/>
      <c r="K532"/>
      <c r="M532"/>
    </row>
    <row r="533" spans="1:13">
      <c r="J533"/>
      <c r="K533"/>
      <c r="L533"/>
      <c r="M533"/>
    </row>
    <row r="534" spans="1:13">
      <c r="A534" s="46"/>
      <c r="J534"/>
      <c r="K534"/>
      <c r="L534"/>
      <c r="M534"/>
    </row>
    <row r="535" spans="1:13">
      <c r="J535"/>
      <c r="K535"/>
      <c r="L535"/>
      <c r="M535"/>
    </row>
    <row r="536" spans="1:13">
      <c r="A536" s="46"/>
      <c r="K536"/>
      <c r="M536"/>
    </row>
    <row r="537" spans="1:13">
      <c r="A537" s="46"/>
      <c r="J537"/>
      <c r="K537"/>
      <c r="L537"/>
      <c r="M537"/>
    </row>
    <row r="538" spans="1:13">
      <c r="A538" s="46"/>
      <c r="J538"/>
      <c r="K538"/>
      <c r="L538"/>
      <c r="M538"/>
    </row>
    <row r="539" spans="1:13">
      <c r="A539" s="46"/>
      <c r="K539"/>
      <c r="M539"/>
    </row>
    <row r="540" spans="1:13">
      <c r="A540" s="46"/>
      <c r="J540"/>
      <c r="K540"/>
      <c r="M540"/>
    </row>
    <row r="541" spans="1:13">
      <c r="A541" s="46"/>
      <c r="K541"/>
      <c r="M541"/>
    </row>
    <row r="542" spans="1:13">
      <c r="J542"/>
      <c r="K542"/>
      <c r="L542"/>
      <c r="M542"/>
    </row>
    <row r="543" spans="1:13">
      <c r="A543" s="46"/>
      <c r="K543"/>
      <c r="M543"/>
    </row>
    <row r="544" spans="1:13">
      <c r="J544"/>
      <c r="K544"/>
      <c r="L544"/>
      <c r="M544"/>
    </row>
    <row r="545" spans="1:13">
      <c r="A545" s="46"/>
      <c r="B545"/>
      <c r="J545"/>
      <c r="K545"/>
      <c r="L545"/>
      <c r="M545"/>
    </row>
    <row r="546" spans="1:13">
      <c r="M546"/>
    </row>
    <row r="547" spans="1:13">
      <c r="M547"/>
    </row>
    <row r="548" spans="1:13">
      <c r="M548"/>
    </row>
    <row r="549" spans="1:13">
      <c r="M549"/>
    </row>
    <row r="550" spans="1:13">
      <c r="J550"/>
      <c r="K550"/>
      <c r="L550"/>
      <c r="M550"/>
    </row>
    <row r="551" spans="1:13">
      <c r="A551" s="46"/>
      <c r="M551"/>
    </row>
    <row r="552" spans="1:13">
      <c r="J552"/>
      <c r="K552"/>
      <c r="L552"/>
      <c r="M552"/>
    </row>
    <row r="553" spans="1:13">
      <c r="J553"/>
      <c r="K553"/>
      <c r="L553"/>
      <c r="M553"/>
    </row>
    <row r="554" spans="1:13">
      <c r="J554"/>
      <c r="K554"/>
      <c r="L554"/>
      <c r="M554"/>
    </row>
    <row r="555" spans="1:13">
      <c r="A555" s="57"/>
      <c r="B555" s="57"/>
      <c r="J555"/>
      <c r="K555"/>
      <c r="L555"/>
      <c r="M555"/>
    </row>
    <row r="556" spans="1:13">
      <c r="E556" s="42"/>
      <c r="F556" s="43"/>
    </row>
    <row r="557" spans="1:13">
      <c r="A557" s="41"/>
      <c r="B557" s="41"/>
    </row>
    <row r="558" spans="1:13">
      <c r="B558" s="44"/>
      <c r="C558" s="44"/>
      <c r="D558" s="44"/>
      <c r="E558" s="44"/>
      <c r="F558" s="44"/>
    </row>
    <row r="559" spans="1:13">
      <c r="B559" s="45"/>
      <c r="C559" s="44"/>
      <c r="D559" s="44"/>
      <c r="E559" s="44"/>
      <c r="F559" s="44"/>
    </row>
    <row r="560" spans="1:13">
      <c r="B560" s="45"/>
      <c r="C560" s="44"/>
      <c r="D560" s="44"/>
      <c r="E560" s="44"/>
      <c r="F560" s="44"/>
    </row>
    <row r="561" spans="1:13">
      <c r="A561" s="46"/>
      <c r="G561" s="41"/>
    </row>
    <row r="562" spans="1:13">
      <c r="I562" s="47"/>
      <c r="M562" s="45"/>
    </row>
    <row r="563" spans="1:13">
      <c r="A563" s="46"/>
      <c r="I563" s="48"/>
      <c r="J563" s="49"/>
      <c r="K563" s="45"/>
      <c r="L563" s="45"/>
      <c r="M563" s="45"/>
    </row>
    <row r="564" spans="1:13">
      <c r="A564" s="46"/>
      <c r="H564" s="50"/>
      <c r="J564" s="51"/>
      <c r="K564" s="52"/>
      <c r="M564" s="52"/>
    </row>
    <row r="565" spans="1:13">
      <c r="A565" s="46"/>
      <c r="K565" s="33"/>
      <c r="L565" s="33"/>
      <c r="M565" s="7"/>
    </row>
    <row r="566" spans="1:13">
      <c r="A566" s="46"/>
      <c r="G566" s="53"/>
      <c r="J566"/>
      <c r="K566"/>
      <c r="M566"/>
    </row>
    <row r="567" spans="1:13">
      <c r="A567" s="46"/>
      <c r="G567" s="54"/>
      <c r="J567"/>
      <c r="K567" s="17"/>
      <c r="M567" s="17"/>
    </row>
    <row r="568" spans="1:13">
      <c r="A568" s="46"/>
      <c r="G568" s="53"/>
      <c r="J568"/>
      <c r="K568"/>
      <c r="M568"/>
    </row>
    <row r="569" spans="1:13">
      <c r="G569" s="53"/>
      <c r="J569"/>
      <c r="K569" s="17"/>
      <c r="M569" s="17"/>
    </row>
    <row r="570" spans="1:13">
      <c r="A570" s="46"/>
      <c r="G570" s="53"/>
      <c r="J570"/>
      <c r="K570" s="17"/>
      <c r="M570" s="17"/>
    </row>
    <row r="571" spans="1:13">
      <c r="A571" s="46"/>
      <c r="G571" s="55"/>
      <c r="J571"/>
      <c r="K571"/>
      <c r="M571"/>
    </row>
    <row r="572" spans="1:13">
      <c r="A572" s="46"/>
      <c r="G572" s="55"/>
      <c r="K572"/>
      <c r="M572"/>
    </row>
    <row r="573" spans="1:13">
      <c r="J573"/>
      <c r="K573"/>
      <c r="L573"/>
      <c r="M573"/>
    </row>
    <row r="574" spans="1:13">
      <c r="A574" s="46"/>
      <c r="J574"/>
      <c r="K574"/>
      <c r="L574"/>
      <c r="M574"/>
    </row>
    <row r="575" spans="1:13">
      <c r="A575" s="46"/>
      <c r="G575" s="56"/>
      <c r="J575"/>
      <c r="K575"/>
      <c r="M575"/>
    </row>
    <row r="576" spans="1:13">
      <c r="A576" s="46"/>
      <c r="G576" s="56"/>
      <c r="J576"/>
      <c r="K576"/>
      <c r="M576"/>
    </row>
    <row r="577" spans="1:13">
      <c r="A577" s="46"/>
      <c r="J577"/>
      <c r="K577"/>
      <c r="M577"/>
    </row>
    <row r="578" spans="1:13">
      <c r="A578" s="46"/>
      <c r="J578"/>
      <c r="K578"/>
      <c r="M578"/>
    </row>
    <row r="579" spans="1:13">
      <c r="J579"/>
      <c r="K579"/>
      <c r="L579"/>
      <c r="M579"/>
    </row>
    <row r="580" spans="1:13">
      <c r="A580" s="46"/>
      <c r="J580"/>
      <c r="K580"/>
      <c r="L580"/>
      <c r="M580"/>
    </row>
    <row r="581" spans="1:13">
      <c r="J581"/>
      <c r="K581"/>
      <c r="L581"/>
      <c r="M581"/>
    </row>
    <row r="582" spans="1:13">
      <c r="A582" s="46"/>
      <c r="K582"/>
      <c r="M582"/>
    </row>
    <row r="583" spans="1:13">
      <c r="A583" s="46"/>
      <c r="J583"/>
      <c r="K583"/>
      <c r="L583"/>
      <c r="M583"/>
    </row>
    <row r="584" spans="1:13">
      <c r="A584" s="46"/>
      <c r="J584"/>
      <c r="K584"/>
      <c r="L584"/>
      <c r="M584"/>
    </row>
    <row r="585" spans="1:13">
      <c r="A585" s="46"/>
      <c r="K585"/>
      <c r="M585"/>
    </row>
    <row r="586" spans="1:13">
      <c r="A586" s="46"/>
      <c r="J586"/>
      <c r="K586"/>
      <c r="M586"/>
    </row>
    <row r="587" spans="1:13">
      <c r="A587" s="46"/>
      <c r="K587"/>
      <c r="M587"/>
    </row>
    <row r="588" spans="1:13">
      <c r="J588"/>
      <c r="K588"/>
      <c r="L588"/>
      <c r="M588"/>
    </row>
    <row r="589" spans="1:13">
      <c r="A589" s="46"/>
      <c r="K589"/>
      <c r="M589"/>
    </row>
    <row r="590" spans="1:13">
      <c r="J590"/>
      <c r="K590"/>
      <c r="L590"/>
      <c r="M590"/>
    </row>
    <row r="591" spans="1:13">
      <c r="A591" s="46"/>
      <c r="B591"/>
      <c r="J591"/>
      <c r="K591"/>
      <c r="L591"/>
      <c r="M591"/>
    </row>
    <row r="592" spans="1:13">
      <c r="M592"/>
    </row>
    <row r="593" spans="1:13">
      <c r="M593"/>
    </row>
    <row r="594" spans="1:13">
      <c r="M594"/>
    </row>
    <row r="595" spans="1:13">
      <c r="M595"/>
    </row>
    <row r="596" spans="1:13">
      <c r="J596"/>
      <c r="K596"/>
      <c r="L596"/>
      <c r="M596"/>
    </row>
    <row r="597" spans="1:13">
      <c r="A597" s="46"/>
      <c r="M59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S33"/>
  <sheetViews>
    <sheetView zoomScale="80" zoomScaleNormal="80" workbookViewId="0">
      <selection activeCell="I34" sqref="I34"/>
    </sheetView>
  </sheetViews>
  <sheetFormatPr defaultRowHeight="12.75"/>
  <cols>
    <col min="1" max="1" width="4" customWidth="1"/>
    <col min="2" max="2" width="36.42578125" customWidth="1"/>
    <col min="3" max="3" width="6.5703125" customWidth="1"/>
    <col min="4" max="4" width="13.42578125" bestFit="1" customWidth="1"/>
    <col min="5" max="5" width="10.5703125" customWidth="1"/>
    <col min="6" max="6" width="11" customWidth="1"/>
    <col min="7" max="7" width="13.42578125" bestFit="1" customWidth="1"/>
    <col min="8" max="8" width="9.140625" customWidth="1"/>
    <col min="9" max="9" width="11.5703125" customWidth="1"/>
    <col min="10" max="10" width="13.42578125" bestFit="1" customWidth="1"/>
    <col min="11" max="11" width="9.42578125" customWidth="1"/>
    <col min="12" max="12" width="10.7109375" bestFit="1" customWidth="1"/>
    <col min="13" max="13" width="13.42578125" bestFit="1" customWidth="1"/>
    <col min="14" max="14" width="9.140625" customWidth="1"/>
    <col min="15" max="15" width="10.7109375" bestFit="1" customWidth="1"/>
    <col min="16" max="16" width="13.42578125" bestFit="1" customWidth="1"/>
    <col min="17" max="17" width="10" customWidth="1"/>
    <col min="18" max="18" width="10.7109375" bestFit="1" customWidth="1"/>
    <col min="19" max="19" width="13.42578125" bestFit="1" customWidth="1"/>
    <col min="20" max="20" width="10.5703125" customWidth="1"/>
    <col min="21" max="21" width="10.7109375" bestFit="1" customWidth="1"/>
    <col min="22" max="22" width="13.42578125" bestFit="1" customWidth="1"/>
    <col min="23" max="23" width="10.7109375" customWidth="1"/>
    <col min="24" max="24" width="10.7109375" bestFit="1" customWidth="1"/>
    <col min="25" max="25" width="13.42578125" bestFit="1" customWidth="1"/>
    <col min="26" max="26" width="10.85546875" customWidth="1"/>
    <col min="27" max="27" width="10.7109375" bestFit="1" customWidth="1"/>
    <col min="28" max="28" width="13.42578125" bestFit="1" customWidth="1"/>
    <col min="30" max="30" width="10.7109375" bestFit="1" customWidth="1"/>
    <col min="31" max="31" width="13.42578125" bestFit="1" customWidth="1"/>
    <col min="33" max="33" width="10.7109375" bestFit="1" customWidth="1"/>
    <col min="34" max="34" width="13.42578125" bestFit="1" customWidth="1"/>
    <col min="36" max="36" width="10.7109375" bestFit="1" customWidth="1"/>
    <col min="37" max="37" width="13.42578125" bestFit="1" customWidth="1"/>
    <col min="39" max="39" width="10.7109375" bestFit="1" customWidth="1"/>
    <col min="40" max="40" width="13.42578125" bestFit="1" customWidth="1"/>
    <col min="42" max="42" width="10.7109375" bestFit="1" customWidth="1"/>
    <col min="258" max="258" width="4" customWidth="1"/>
    <col min="259" max="259" width="36.42578125" customWidth="1"/>
    <col min="260" max="260" width="6.5703125" customWidth="1"/>
    <col min="261" max="261" width="11.7109375" customWidth="1"/>
    <col min="262" max="262" width="10.5703125" customWidth="1"/>
    <col min="263" max="263" width="11" customWidth="1"/>
    <col min="264" max="264" width="10.28515625" customWidth="1"/>
    <col min="265" max="266" width="9.140625" customWidth="1"/>
    <col min="268" max="268" width="9.42578125" customWidth="1"/>
    <col min="270" max="270" width="10.85546875" customWidth="1"/>
    <col min="273" max="273" width="10" customWidth="1"/>
    <col min="276" max="276" width="10.5703125" customWidth="1"/>
    <col min="279" max="279" width="10.7109375" customWidth="1"/>
    <col min="281" max="281" width="11.28515625" customWidth="1"/>
    <col min="282" max="282" width="10.85546875" customWidth="1"/>
    <col min="514" max="514" width="4" customWidth="1"/>
    <col min="515" max="515" width="36.42578125" customWidth="1"/>
    <col min="516" max="516" width="6.5703125" customWidth="1"/>
    <col min="517" max="517" width="11.7109375" customWidth="1"/>
    <col min="518" max="518" width="10.5703125" customWidth="1"/>
    <col min="519" max="519" width="11" customWidth="1"/>
    <col min="520" max="520" width="10.28515625" customWidth="1"/>
    <col min="521" max="522" width="9.140625" customWidth="1"/>
    <col min="524" max="524" width="9.42578125" customWidth="1"/>
    <col min="526" max="526" width="10.85546875" customWidth="1"/>
    <col min="529" max="529" width="10" customWidth="1"/>
    <col min="532" max="532" width="10.5703125" customWidth="1"/>
    <col min="535" max="535" width="10.7109375" customWidth="1"/>
    <col min="537" max="537" width="11.28515625" customWidth="1"/>
    <col min="538" max="538" width="10.85546875" customWidth="1"/>
    <col min="770" max="770" width="4" customWidth="1"/>
    <col min="771" max="771" width="36.42578125" customWidth="1"/>
    <col min="772" max="772" width="6.5703125" customWidth="1"/>
    <col min="773" max="773" width="11.7109375" customWidth="1"/>
    <col min="774" max="774" width="10.5703125" customWidth="1"/>
    <col min="775" max="775" width="11" customWidth="1"/>
    <col min="776" max="776" width="10.28515625" customWidth="1"/>
    <col min="777" max="778" width="9.140625" customWidth="1"/>
    <col min="780" max="780" width="9.42578125" customWidth="1"/>
    <col min="782" max="782" width="10.85546875" customWidth="1"/>
    <col min="785" max="785" width="10" customWidth="1"/>
    <col min="788" max="788" width="10.5703125" customWidth="1"/>
    <col min="791" max="791" width="10.7109375" customWidth="1"/>
    <col min="793" max="793" width="11.28515625" customWidth="1"/>
    <col min="794" max="794" width="10.85546875" customWidth="1"/>
    <col min="1026" max="1026" width="4" customWidth="1"/>
    <col min="1027" max="1027" width="36.42578125" customWidth="1"/>
    <col min="1028" max="1028" width="6.5703125" customWidth="1"/>
    <col min="1029" max="1029" width="11.7109375" customWidth="1"/>
    <col min="1030" max="1030" width="10.5703125" customWidth="1"/>
    <col min="1031" max="1031" width="11" customWidth="1"/>
    <col min="1032" max="1032" width="10.28515625" customWidth="1"/>
    <col min="1033" max="1034" width="9.140625" customWidth="1"/>
    <col min="1036" max="1036" width="9.42578125" customWidth="1"/>
    <col min="1038" max="1038" width="10.85546875" customWidth="1"/>
    <col min="1041" max="1041" width="10" customWidth="1"/>
    <col min="1044" max="1044" width="10.5703125" customWidth="1"/>
    <col min="1047" max="1047" width="10.7109375" customWidth="1"/>
    <col min="1049" max="1049" width="11.28515625" customWidth="1"/>
    <col min="1050" max="1050" width="10.85546875" customWidth="1"/>
    <col min="1282" max="1282" width="4" customWidth="1"/>
    <col min="1283" max="1283" width="36.42578125" customWidth="1"/>
    <col min="1284" max="1284" width="6.5703125" customWidth="1"/>
    <col min="1285" max="1285" width="11.7109375" customWidth="1"/>
    <col min="1286" max="1286" width="10.5703125" customWidth="1"/>
    <col min="1287" max="1287" width="11" customWidth="1"/>
    <col min="1288" max="1288" width="10.28515625" customWidth="1"/>
    <col min="1289" max="1290" width="9.140625" customWidth="1"/>
    <col min="1292" max="1292" width="9.42578125" customWidth="1"/>
    <col min="1294" max="1294" width="10.85546875" customWidth="1"/>
    <col min="1297" max="1297" width="10" customWidth="1"/>
    <col min="1300" max="1300" width="10.5703125" customWidth="1"/>
    <col min="1303" max="1303" width="10.7109375" customWidth="1"/>
    <col min="1305" max="1305" width="11.28515625" customWidth="1"/>
    <col min="1306" max="1306" width="10.85546875" customWidth="1"/>
    <col min="1538" max="1538" width="4" customWidth="1"/>
    <col min="1539" max="1539" width="36.42578125" customWidth="1"/>
    <col min="1540" max="1540" width="6.5703125" customWidth="1"/>
    <col min="1541" max="1541" width="11.7109375" customWidth="1"/>
    <col min="1542" max="1542" width="10.5703125" customWidth="1"/>
    <col min="1543" max="1543" width="11" customWidth="1"/>
    <col min="1544" max="1544" width="10.28515625" customWidth="1"/>
    <col min="1545" max="1546" width="9.140625" customWidth="1"/>
    <col min="1548" max="1548" width="9.42578125" customWidth="1"/>
    <col min="1550" max="1550" width="10.85546875" customWidth="1"/>
    <col min="1553" max="1553" width="10" customWidth="1"/>
    <col min="1556" max="1556" width="10.5703125" customWidth="1"/>
    <col min="1559" max="1559" width="10.7109375" customWidth="1"/>
    <col min="1561" max="1561" width="11.28515625" customWidth="1"/>
    <col min="1562" max="1562" width="10.85546875" customWidth="1"/>
    <col min="1794" max="1794" width="4" customWidth="1"/>
    <col min="1795" max="1795" width="36.42578125" customWidth="1"/>
    <col min="1796" max="1796" width="6.5703125" customWidth="1"/>
    <col min="1797" max="1797" width="11.7109375" customWidth="1"/>
    <col min="1798" max="1798" width="10.5703125" customWidth="1"/>
    <col min="1799" max="1799" width="11" customWidth="1"/>
    <col min="1800" max="1800" width="10.28515625" customWidth="1"/>
    <col min="1801" max="1802" width="9.140625" customWidth="1"/>
    <col min="1804" max="1804" width="9.42578125" customWidth="1"/>
    <col min="1806" max="1806" width="10.85546875" customWidth="1"/>
    <col min="1809" max="1809" width="10" customWidth="1"/>
    <col min="1812" max="1812" width="10.5703125" customWidth="1"/>
    <col min="1815" max="1815" width="10.7109375" customWidth="1"/>
    <col min="1817" max="1817" width="11.28515625" customWidth="1"/>
    <col min="1818" max="1818" width="10.85546875" customWidth="1"/>
    <col min="2050" max="2050" width="4" customWidth="1"/>
    <col min="2051" max="2051" width="36.42578125" customWidth="1"/>
    <col min="2052" max="2052" width="6.5703125" customWidth="1"/>
    <col min="2053" max="2053" width="11.7109375" customWidth="1"/>
    <col min="2054" max="2054" width="10.5703125" customWidth="1"/>
    <col min="2055" max="2055" width="11" customWidth="1"/>
    <col min="2056" max="2056" width="10.28515625" customWidth="1"/>
    <col min="2057" max="2058" width="9.140625" customWidth="1"/>
    <col min="2060" max="2060" width="9.42578125" customWidth="1"/>
    <col min="2062" max="2062" width="10.85546875" customWidth="1"/>
    <col min="2065" max="2065" width="10" customWidth="1"/>
    <col min="2068" max="2068" width="10.5703125" customWidth="1"/>
    <col min="2071" max="2071" width="10.7109375" customWidth="1"/>
    <col min="2073" max="2073" width="11.28515625" customWidth="1"/>
    <col min="2074" max="2074" width="10.85546875" customWidth="1"/>
    <col min="2306" max="2306" width="4" customWidth="1"/>
    <col min="2307" max="2307" width="36.42578125" customWidth="1"/>
    <col min="2308" max="2308" width="6.5703125" customWidth="1"/>
    <col min="2309" max="2309" width="11.7109375" customWidth="1"/>
    <col min="2310" max="2310" width="10.5703125" customWidth="1"/>
    <col min="2311" max="2311" width="11" customWidth="1"/>
    <col min="2312" max="2312" width="10.28515625" customWidth="1"/>
    <col min="2313" max="2314" width="9.140625" customWidth="1"/>
    <col min="2316" max="2316" width="9.42578125" customWidth="1"/>
    <col min="2318" max="2318" width="10.85546875" customWidth="1"/>
    <col min="2321" max="2321" width="10" customWidth="1"/>
    <col min="2324" max="2324" width="10.5703125" customWidth="1"/>
    <col min="2327" max="2327" width="10.7109375" customWidth="1"/>
    <col min="2329" max="2329" width="11.28515625" customWidth="1"/>
    <col min="2330" max="2330" width="10.85546875" customWidth="1"/>
    <col min="2562" max="2562" width="4" customWidth="1"/>
    <col min="2563" max="2563" width="36.42578125" customWidth="1"/>
    <col min="2564" max="2564" width="6.5703125" customWidth="1"/>
    <col min="2565" max="2565" width="11.7109375" customWidth="1"/>
    <col min="2566" max="2566" width="10.5703125" customWidth="1"/>
    <col min="2567" max="2567" width="11" customWidth="1"/>
    <col min="2568" max="2568" width="10.28515625" customWidth="1"/>
    <col min="2569" max="2570" width="9.140625" customWidth="1"/>
    <col min="2572" max="2572" width="9.42578125" customWidth="1"/>
    <col min="2574" max="2574" width="10.85546875" customWidth="1"/>
    <col min="2577" max="2577" width="10" customWidth="1"/>
    <col min="2580" max="2580" width="10.5703125" customWidth="1"/>
    <col min="2583" max="2583" width="10.7109375" customWidth="1"/>
    <col min="2585" max="2585" width="11.28515625" customWidth="1"/>
    <col min="2586" max="2586" width="10.85546875" customWidth="1"/>
    <col min="2818" max="2818" width="4" customWidth="1"/>
    <col min="2819" max="2819" width="36.42578125" customWidth="1"/>
    <col min="2820" max="2820" width="6.5703125" customWidth="1"/>
    <col min="2821" max="2821" width="11.7109375" customWidth="1"/>
    <col min="2822" max="2822" width="10.5703125" customWidth="1"/>
    <col min="2823" max="2823" width="11" customWidth="1"/>
    <col min="2824" max="2824" width="10.28515625" customWidth="1"/>
    <col min="2825" max="2826" width="9.140625" customWidth="1"/>
    <col min="2828" max="2828" width="9.42578125" customWidth="1"/>
    <col min="2830" max="2830" width="10.85546875" customWidth="1"/>
    <col min="2833" max="2833" width="10" customWidth="1"/>
    <col min="2836" max="2836" width="10.5703125" customWidth="1"/>
    <col min="2839" max="2839" width="10.7109375" customWidth="1"/>
    <col min="2841" max="2841" width="11.28515625" customWidth="1"/>
    <col min="2842" max="2842" width="10.85546875" customWidth="1"/>
    <col min="3074" max="3074" width="4" customWidth="1"/>
    <col min="3075" max="3075" width="36.42578125" customWidth="1"/>
    <col min="3076" max="3076" width="6.5703125" customWidth="1"/>
    <col min="3077" max="3077" width="11.7109375" customWidth="1"/>
    <col min="3078" max="3078" width="10.5703125" customWidth="1"/>
    <col min="3079" max="3079" width="11" customWidth="1"/>
    <col min="3080" max="3080" width="10.28515625" customWidth="1"/>
    <col min="3081" max="3082" width="9.140625" customWidth="1"/>
    <col min="3084" max="3084" width="9.42578125" customWidth="1"/>
    <col min="3086" max="3086" width="10.85546875" customWidth="1"/>
    <col min="3089" max="3089" width="10" customWidth="1"/>
    <col min="3092" max="3092" width="10.5703125" customWidth="1"/>
    <col min="3095" max="3095" width="10.7109375" customWidth="1"/>
    <col min="3097" max="3097" width="11.28515625" customWidth="1"/>
    <col min="3098" max="3098" width="10.85546875" customWidth="1"/>
    <col min="3330" max="3330" width="4" customWidth="1"/>
    <col min="3331" max="3331" width="36.42578125" customWidth="1"/>
    <col min="3332" max="3332" width="6.5703125" customWidth="1"/>
    <col min="3333" max="3333" width="11.7109375" customWidth="1"/>
    <col min="3334" max="3334" width="10.5703125" customWidth="1"/>
    <col min="3335" max="3335" width="11" customWidth="1"/>
    <col min="3336" max="3336" width="10.28515625" customWidth="1"/>
    <col min="3337" max="3338" width="9.140625" customWidth="1"/>
    <col min="3340" max="3340" width="9.42578125" customWidth="1"/>
    <col min="3342" max="3342" width="10.85546875" customWidth="1"/>
    <col min="3345" max="3345" width="10" customWidth="1"/>
    <col min="3348" max="3348" width="10.5703125" customWidth="1"/>
    <col min="3351" max="3351" width="10.7109375" customWidth="1"/>
    <col min="3353" max="3353" width="11.28515625" customWidth="1"/>
    <col min="3354" max="3354" width="10.85546875" customWidth="1"/>
    <col min="3586" max="3586" width="4" customWidth="1"/>
    <col min="3587" max="3587" width="36.42578125" customWidth="1"/>
    <col min="3588" max="3588" width="6.5703125" customWidth="1"/>
    <col min="3589" max="3589" width="11.7109375" customWidth="1"/>
    <col min="3590" max="3590" width="10.5703125" customWidth="1"/>
    <col min="3591" max="3591" width="11" customWidth="1"/>
    <col min="3592" max="3592" width="10.28515625" customWidth="1"/>
    <col min="3593" max="3594" width="9.140625" customWidth="1"/>
    <col min="3596" max="3596" width="9.42578125" customWidth="1"/>
    <col min="3598" max="3598" width="10.85546875" customWidth="1"/>
    <col min="3601" max="3601" width="10" customWidth="1"/>
    <col min="3604" max="3604" width="10.5703125" customWidth="1"/>
    <col min="3607" max="3607" width="10.7109375" customWidth="1"/>
    <col min="3609" max="3609" width="11.28515625" customWidth="1"/>
    <col min="3610" max="3610" width="10.85546875" customWidth="1"/>
    <col min="3842" max="3842" width="4" customWidth="1"/>
    <col min="3843" max="3843" width="36.42578125" customWidth="1"/>
    <col min="3844" max="3844" width="6.5703125" customWidth="1"/>
    <col min="3845" max="3845" width="11.7109375" customWidth="1"/>
    <col min="3846" max="3846" width="10.5703125" customWidth="1"/>
    <col min="3847" max="3847" width="11" customWidth="1"/>
    <col min="3848" max="3848" width="10.28515625" customWidth="1"/>
    <col min="3849" max="3850" width="9.140625" customWidth="1"/>
    <col min="3852" max="3852" width="9.42578125" customWidth="1"/>
    <col min="3854" max="3854" width="10.85546875" customWidth="1"/>
    <col min="3857" max="3857" width="10" customWidth="1"/>
    <col min="3860" max="3860" width="10.5703125" customWidth="1"/>
    <col min="3863" max="3863" width="10.7109375" customWidth="1"/>
    <col min="3865" max="3865" width="11.28515625" customWidth="1"/>
    <col min="3866" max="3866" width="10.85546875" customWidth="1"/>
    <col min="4098" max="4098" width="4" customWidth="1"/>
    <col min="4099" max="4099" width="36.42578125" customWidth="1"/>
    <col min="4100" max="4100" width="6.5703125" customWidth="1"/>
    <col min="4101" max="4101" width="11.7109375" customWidth="1"/>
    <col min="4102" max="4102" width="10.5703125" customWidth="1"/>
    <col min="4103" max="4103" width="11" customWidth="1"/>
    <col min="4104" max="4104" width="10.28515625" customWidth="1"/>
    <col min="4105" max="4106" width="9.140625" customWidth="1"/>
    <col min="4108" max="4108" width="9.42578125" customWidth="1"/>
    <col min="4110" max="4110" width="10.85546875" customWidth="1"/>
    <col min="4113" max="4113" width="10" customWidth="1"/>
    <col min="4116" max="4116" width="10.5703125" customWidth="1"/>
    <col min="4119" max="4119" width="10.7109375" customWidth="1"/>
    <col min="4121" max="4121" width="11.28515625" customWidth="1"/>
    <col min="4122" max="4122" width="10.85546875" customWidth="1"/>
    <col min="4354" max="4354" width="4" customWidth="1"/>
    <col min="4355" max="4355" width="36.42578125" customWidth="1"/>
    <col min="4356" max="4356" width="6.5703125" customWidth="1"/>
    <col min="4357" max="4357" width="11.7109375" customWidth="1"/>
    <col min="4358" max="4358" width="10.5703125" customWidth="1"/>
    <col min="4359" max="4359" width="11" customWidth="1"/>
    <col min="4360" max="4360" width="10.28515625" customWidth="1"/>
    <col min="4361" max="4362" width="9.140625" customWidth="1"/>
    <col min="4364" max="4364" width="9.42578125" customWidth="1"/>
    <col min="4366" max="4366" width="10.85546875" customWidth="1"/>
    <col min="4369" max="4369" width="10" customWidth="1"/>
    <col min="4372" max="4372" width="10.5703125" customWidth="1"/>
    <col min="4375" max="4375" width="10.7109375" customWidth="1"/>
    <col min="4377" max="4377" width="11.28515625" customWidth="1"/>
    <col min="4378" max="4378" width="10.85546875" customWidth="1"/>
    <col min="4610" max="4610" width="4" customWidth="1"/>
    <col min="4611" max="4611" width="36.42578125" customWidth="1"/>
    <col min="4612" max="4612" width="6.5703125" customWidth="1"/>
    <col min="4613" max="4613" width="11.7109375" customWidth="1"/>
    <col min="4614" max="4614" width="10.5703125" customWidth="1"/>
    <col min="4615" max="4615" width="11" customWidth="1"/>
    <col min="4616" max="4616" width="10.28515625" customWidth="1"/>
    <col min="4617" max="4618" width="9.140625" customWidth="1"/>
    <col min="4620" max="4620" width="9.42578125" customWidth="1"/>
    <col min="4622" max="4622" width="10.85546875" customWidth="1"/>
    <col min="4625" max="4625" width="10" customWidth="1"/>
    <col min="4628" max="4628" width="10.5703125" customWidth="1"/>
    <col min="4631" max="4631" width="10.7109375" customWidth="1"/>
    <col min="4633" max="4633" width="11.28515625" customWidth="1"/>
    <col min="4634" max="4634" width="10.85546875" customWidth="1"/>
    <col min="4866" max="4866" width="4" customWidth="1"/>
    <col min="4867" max="4867" width="36.42578125" customWidth="1"/>
    <col min="4868" max="4868" width="6.5703125" customWidth="1"/>
    <col min="4869" max="4869" width="11.7109375" customWidth="1"/>
    <col min="4870" max="4870" width="10.5703125" customWidth="1"/>
    <col min="4871" max="4871" width="11" customWidth="1"/>
    <col min="4872" max="4872" width="10.28515625" customWidth="1"/>
    <col min="4873" max="4874" width="9.140625" customWidth="1"/>
    <col min="4876" max="4876" width="9.42578125" customWidth="1"/>
    <col min="4878" max="4878" width="10.85546875" customWidth="1"/>
    <col min="4881" max="4881" width="10" customWidth="1"/>
    <col min="4884" max="4884" width="10.5703125" customWidth="1"/>
    <col min="4887" max="4887" width="10.7109375" customWidth="1"/>
    <col min="4889" max="4889" width="11.28515625" customWidth="1"/>
    <col min="4890" max="4890" width="10.85546875" customWidth="1"/>
    <col min="5122" max="5122" width="4" customWidth="1"/>
    <col min="5123" max="5123" width="36.42578125" customWidth="1"/>
    <col min="5124" max="5124" width="6.5703125" customWidth="1"/>
    <col min="5125" max="5125" width="11.7109375" customWidth="1"/>
    <col min="5126" max="5126" width="10.5703125" customWidth="1"/>
    <col min="5127" max="5127" width="11" customWidth="1"/>
    <col min="5128" max="5128" width="10.28515625" customWidth="1"/>
    <col min="5129" max="5130" width="9.140625" customWidth="1"/>
    <col min="5132" max="5132" width="9.42578125" customWidth="1"/>
    <col min="5134" max="5134" width="10.85546875" customWidth="1"/>
    <col min="5137" max="5137" width="10" customWidth="1"/>
    <col min="5140" max="5140" width="10.5703125" customWidth="1"/>
    <col min="5143" max="5143" width="10.7109375" customWidth="1"/>
    <col min="5145" max="5145" width="11.28515625" customWidth="1"/>
    <col min="5146" max="5146" width="10.85546875" customWidth="1"/>
    <col min="5378" max="5378" width="4" customWidth="1"/>
    <col min="5379" max="5379" width="36.42578125" customWidth="1"/>
    <col min="5380" max="5380" width="6.5703125" customWidth="1"/>
    <col min="5381" max="5381" width="11.7109375" customWidth="1"/>
    <col min="5382" max="5382" width="10.5703125" customWidth="1"/>
    <col min="5383" max="5383" width="11" customWidth="1"/>
    <col min="5384" max="5384" width="10.28515625" customWidth="1"/>
    <col min="5385" max="5386" width="9.140625" customWidth="1"/>
    <col min="5388" max="5388" width="9.42578125" customWidth="1"/>
    <col min="5390" max="5390" width="10.85546875" customWidth="1"/>
    <col min="5393" max="5393" width="10" customWidth="1"/>
    <col min="5396" max="5396" width="10.5703125" customWidth="1"/>
    <col min="5399" max="5399" width="10.7109375" customWidth="1"/>
    <col min="5401" max="5401" width="11.28515625" customWidth="1"/>
    <col min="5402" max="5402" width="10.85546875" customWidth="1"/>
    <col min="5634" max="5634" width="4" customWidth="1"/>
    <col min="5635" max="5635" width="36.42578125" customWidth="1"/>
    <col min="5636" max="5636" width="6.5703125" customWidth="1"/>
    <col min="5637" max="5637" width="11.7109375" customWidth="1"/>
    <col min="5638" max="5638" width="10.5703125" customWidth="1"/>
    <col min="5639" max="5639" width="11" customWidth="1"/>
    <col min="5640" max="5640" width="10.28515625" customWidth="1"/>
    <col min="5641" max="5642" width="9.140625" customWidth="1"/>
    <col min="5644" max="5644" width="9.42578125" customWidth="1"/>
    <col min="5646" max="5646" width="10.85546875" customWidth="1"/>
    <col min="5649" max="5649" width="10" customWidth="1"/>
    <col min="5652" max="5652" width="10.5703125" customWidth="1"/>
    <col min="5655" max="5655" width="10.7109375" customWidth="1"/>
    <col min="5657" max="5657" width="11.28515625" customWidth="1"/>
    <col min="5658" max="5658" width="10.85546875" customWidth="1"/>
    <col min="5890" max="5890" width="4" customWidth="1"/>
    <col min="5891" max="5891" width="36.42578125" customWidth="1"/>
    <col min="5892" max="5892" width="6.5703125" customWidth="1"/>
    <col min="5893" max="5893" width="11.7109375" customWidth="1"/>
    <col min="5894" max="5894" width="10.5703125" customWidth="1"/>
    <col min="5895" max="5895" width="11" customWidth="1"/>
    <col min="5896" max="5896" width="10.28515625" customWidth="1"/>
    <col min="5897" max="5898" width="9.140625" customWidth="1"/>
    <col min="5900" max="5900" width="9.42578125" customWidth="1"/>
    <col min="5902" max="5902" width="10.85546875" customWidth="1"/>
    <col min="5905" max="5905" width="10" customWidth="1"/>
    <col min="5908" max="5908" width="10.5703125" customWidth="1"/>
    <col min="5911" max="5911" width="10.7109375" customWidth="1"/>
    <col min="5913" max="5913" width="11.28515625" customWidth="1"/>
    <col min="5914" max="5914" width="10.85546875" customWidth="1"/>
    <col min="6146" max="6146" width="4" customWidth="1"/>
    <col min="6147" max="6147" width="36.42578125" customWidth="1"/>
    <col min="6148" max="6148" width="6.5703125" customWidth="1"/>
    <col min="6149" max="6149" width="11.7109375" customWidth="1"/>
    <col min="6150" max="6150" width="10.5703125" customWidth="1"/>
    <col min="6151" max="6151" width="11" customWidth="1"/>
    <col min="6152" max="6152" width="10.28515625" customWidth="1"/>
    <col min="6153" max="6154" width="9.140625" customWidth="1"/>
    <col min="6156" max="6156" width="9.42578125" customWidth="1"/>
    <col min="6158" max="6158" width="10.85546875" customWidth="1"/>
    <col min="6161" max="6161" width="10" customWidth="1"/>
    <col min="6164" max="6164" width="10.5703125" customWidth="1"/>
    <col min="6167" max="6167" width="10.7109375" customWidth="1"/>
    <col min="6169" max="6169" width="11.28515625" customWidth="1"/>
    <col min="6170" max="6170" width="10.85546875" customWidth="1"/>
    <col min="6402" max="6402" width="4" customWidth="1"/>
    <col min="6403" max="6403" width="36.42578125" customWidth="1"/>
    <col min="6404" max="6404" width="6.5703125" customWidth="1"/>
    <col min="6405" max="6405" width="11.7109375" customWidth="1"/>
    <col min="6406" max="6406" width="10.5703125" customWidth="1"/>
    <col min="6407" max="6407" width="11" customWidth="1"/>
    <col min="6408" max="6408" width="10.28515625" customWidth="1"/>
    <col min="6409" max="6410" width="9.140625" customWidth="1"/>
    <col min="6412" max="6412" width="9.42578125" customWidth="1"/>
    <col min="6414" max="6414" width="10.85546875" customWidth="1"/>
    <col min="6417" max="6417" width="10" customWidth="1"/>
    <col min="6420" max="6420" width="10.5703125" customWidth="1"/>
    <col min="6423" max="6423" width="10.7109375" customWidth="1"/>
    <col min="6425" max="6425" width="11.28515625" customWidth="1"/>
    <col min="6426" max="6426" width="10.85546875" customWidth="1"/>
    <col min="6658" max="6658" width="4" customWidth="1"/>
    <col min="6659" max="6659" width="36.42578125" customWidth="1"/>
    <col min="6660" max="6660" width="6.5703125" customWidth="1"/>
    <col min="6661" max="6661" width="11.7109375" customWidth="1"/>
    <col min="6662" max="6662" width="10.5703125" customWidth="1"/>
    <col min="6663" max="6663" width="11" customWidth="1"/>
    <col min="6664" max="6664" width="10.28515625" customWidth="1"/>
    <col min="6665" max="6666" width="9.140625" customWidth="1"/>
    <col min="6668" max="6668" width="9.42578125" customWidth="1"/>
    <col min="6670" max="6670" width="10.85546875" customWidth="1"/>
    <col min="6673" max="6673" width="10" customWidth="1"/>
    <col min="6676" max="6676" width="10.5703125" customWidth="1"/>
    <col min="6679" max="6679" width="10.7109375" customWidth="1"/>
    <col min="6681" max="6681" width="11.28515625" customWidth="1"/>
    <col min="6682" max="6682" width="10.85546875" customWidth="1"/>
    <col min="6914" max="6914" width="4" customWidth="1"/>
    <col min="6915" max="6915" width="36.42578125" customWidth="1"/>
    <col min="6916" max="6916" width="6.5703125" customWidth="1"/>
    <col min="6917" max="6917" width="11.7109375" customWidth="1"/>
    <col min="6918" max="6918" width="10.5703125" customWidth="1"/>
    <col min="6919" max="6919" width="11" customWidth="1"/>
    <col min="6920" max="6920" width="10.28515625" customWidth="1"/>
    <col min="6921" max="6922" width="9.140625" customWidth="1"/>
    <col min="6924" max="6924" width="9.42578125" customWidth="1"/>
    <col min="6926" max="6926" width="10.85546875" customWidth="1"/>
    <col min="6929" max="6929" width="10" customWidth="1"/>
    <col min="6932" max="6932" width="10.5703125" customWidth="1"/>
    <col min="6935" max="6935" width="10.7109375" customWidth="1"/>
    <col min="6937" max="6937" width="11.28515625" customWidth="1"/>
    <col min="6938" max="6938" width="10.85546875" customWidth="1"/>
    <col min="7170" max="7170" width="4" customWidth="1"/>
    <col min="7171" max="7171" width="36.42578125" customWidth="1"/>
    <col min="7172" max="7172" width="6.5703125" customWidth="1"/>
    <col min="7173" max="7173" width="11.7109375" customWidth="1"/>
    <col min="7174" max="7174" width="10.5703125" customWidth="1"/>
    <col min="7175" max="7175" width="11" customWidth="1"/>
    <col min="7176" max="7176" width="10.28515625" customWidth="1"/>
    <col min="7177" max="7178" width="9.140625" customWidth="1"/>
    <col min="7180" max="7180" width="9.42578125" customWidth="1"/>
    <col min="7182" max="7182" width="10.85546875" customWidth="1"/>
    <col min="7185" max="7185" width="10" customWidth="1"/>
    <col min="7188" max="7188" width="10.5703125" customWidth="1"/>
    <col min="7191" max="7191" width="10.7109375" customWidth="1"/>
    <col min="7193" max="7193" width="11.28515625" customWidth="1"/>
    <col min="7194" max="7194" width="10.85546875" customWidth="1"/>
    <col min="7426" max="7426" width="4" customWidth="1"/>
    <col min="7427" max="7427" width="36.42578125" customWidth="1"/>
    <col min="7428" max="7428" width="6.5703125" customWidth="1"/>
    <col min="7429" max="7429" width="11.7109375" customWidth="1"/>
    <col min="7430" max="7430" width="10.5703125" customWidth="1"/>
    <col min="7431" max="7431" width="11" customWidth="1"/>
    <col min="7432" max="7432" width="10.28515625" customWidth="1"/>
    <col min="7433" max="7434" width="9.140625" customWidth="1"/>
    <col min="7436" max="7436" width="9.42578125" customWidth="1"/>
    <col min="7438" max="7438" width="10.85546875" customWidth="1"/>
    <col min="7441" max="7441" width="10" customWidth="1"/>
    <col min="7444" max="7444" width="10.5703125" customWidth="1"/>
    <col min="7447" max="7447" width="10.7109375" customWidth="1"/>
    <col min="7449" max="7449" width="11.28515625" customWidth="1"/>
    <col min="7450" max="7450" width="10.85546875" customWidth="1"/>
    <col min="7682" max="7682" width="4" customWidth="1"/>
    <col min="7683" max="7683" width="36.42578125" customWidth="1"/>
    <col min="7684" max="7684" width="6.5703125" customWidth="1"/>
    <col min="7685" max="7685" width="11.7109375" customWidth="1"/>
    <col min="7686" max="7686" width="10.5703125" customWidth="1"/>
    <col min="7687" max="7687" width="11" customWidth="1"/>
    <col min="7688" max="7688" width="10.28515625" customWidth="1"/>
    <col min="7689" max="7690" width="9.140625" customWidth="1"/>
    <col min="7692" max="7692" width="9.42578125" customWidth="1"/>
    <col min="7694" max="7694" width="10.85546875" customWidth="1"/>
    <col min="7697" max="7697" width="10" customWidth="1"/>
    <col min="7700" max="7700" width="10.5703125" customWidth="1"/>
    <col min="7703" max="7703" width="10.7109375" customWidth="1"/>
    <col min="7705" max="7705" width="11.28515625" customWidth="1"/>
    <col min="7706" max="7706" width="10.85546875" customWidth="1"/>
    <col min="7938" max="7938" width="4" customWidth="1"/>
    <col min="7939" max="7939" width="36.42578125" customWidth="1"/>
    <col min="7940" max="7940" width="6.5703125" customWidth="1"/>
    <col min="7941" max="7941" width="11.7109375" customWidth="1"/>
    <col min="7942" max="7942" width="10.5703125" customWidth="1"/>
    <col min="7943" max="7943" width="11" customWidth="1"/>
    <col min="7944" max="7944" width="10.28515625" customWidth="1"/>
    <col min="7945" max="7946" width="9.140625" customWidth="1"/>
    <col min="7948" max="7948" width="9.42578125" customWidth="1"/>
    <col min="7950" max="7950" width="10.85546875" customWidth="1"/>
    <col min="7953" max="7953" width="10" customWidth="1"/>
    <col min="7956" max="7956" width="10.5703125" customWidth="1"/>
    <col min="7959" max="7959" width="10.7109375" customWidth="1"/>
    <col min="7961" max="7961" width="11.28515625" customWidth="1"/>
    <col min="7962" max="7962" width="10.85546875" customWidth="1"/>
    <col min="8194" max="8194" width="4" customWidth="1"/>
    <col min="8195" max="8195" width="36.42578125" customWidth="1"/>
    <col min="8196" max="8196" width="6.5703125" customWidth="1"/>
    <col min="8197" max="8197" width="11.7109375" customWidth="1"/>
    <col min="8198" max="8198" width="10.5703125" customWidth="1"/>
    <col min="8199" max="8199" width="11" customWidth="1"/>
    <col min="8200" max="8200" width="10.28515625" customWidth="1"/>
    <col min="8201" max="8202" width="9.140625" customWidth="1"/>
    <col min="8204" max="8204" width="9.42578125" customWidth="1"/>
    <col min="8206" max="8206" width="10.85546875" customWidth="1"/>
    <col min="8209" max="8209" width="10" customWidth="1"/>
    <col min="8212" max="8212" width="10.5703125" customWidth="1"/>
    <col min="8215" max="8215" width="10.7109375" customWidth="1"/>
    <col min="8217" max="8217" width="11.28515625" customWidth="1"/>
    <col min="8218" max="8218" width="10.85546875" customWidth="1"/>
    <col min="8450" max="8450" width="4" customWidth="1"/>
    <col min="8451" max="8451" width="36.42578125" customWidth="1"/>
    <col min="8452" max="8452" width="6.5703125" customWidth="1"/>
    <col min="8453" max="8453" width="11.7109375" customWidth="1"/>
    <col min="8454" max="8454" width="10.5703125" customWidth="1"/>
    <col min="8455" max="8455" width="11" customWidth="1"/>
    <col min="8456" max="8456" width="10.28515625" customWidth="1"/>
    <col min="8457" max="8458" width="9.140625" customWidth="1"/>
    <col min="8460" max="8460" width="9.42578125" customWidth="1"/>
    <col min="8462" max="8462" width="10.85546875" customWidth="1"/>
    <col min="8465" max="8465" width="10" customWidth="1"/>
    <col min="8468" max="8468" width="10.5703125" customWidth="1"/>
    <col min="8471" max="8471" width="10.7109375" customWidth="1"/>
    <col min="8473" max="8473" width="11.28515625" customWidth="1"/>
    <col min="8474" max="8474" width="10.85546875" customWidth="1"/>
    <col min="8706" max="8706" width="4" customWidth="1"/>
    <col min="8707" max="8707" width="36.42578125" customWidth="1"/>
    <col min="8708" max="8708" width="6.5703125" customWidth="1"/>
    <col min="8709" max="8709" width="11.7109375" customWidth="1"/>
    <col min="8710" max="8710" width="10.5703125" customWidth="1"/>
    <col min="8711" max="8711" width="11" customWidth="1"/>
    <col min="8712" max="8712" width="10.28515625" customWidth="1"/>
    <col min="8713" max="8714" width="9.140625" customWidth="1"/>
    <col min="8716" max="8716" width="9.42578125" customWidth="1"/>
    <col min="8718" max="8718" width="10.85546875" customWidth="1"/>
    <col min="8721" max="8721" width="10" customWidth="1"/>
    <col min="8724" max="8724" width="10.5703125" customWidth="1"/>
    <col min="8727" max="8727" width="10.7109375" customWidth="1"/>
    <col min="8729" max="8729" width="11.28515625" customWidth="1"/>
    <col min="8730" max="8730" width="10.85546875" customWidth="1"/>
    <col min="8962" max="8962" width="4" customWidth="1"/>
    <col min="8963" max="8963" width="36.42578125" customWidth="1"/>
    <col min="8964" max="8964" width="6.5703125" customWidth="1"/>
    <col min="8965" max="8965" width="11.7109375" customWidth="1"/>
    <col min="8966" max="8966" width="10.5703125" customWidth="1"/>
    <col min="8967" max="8967" width="11" customWidth="1"/>
    <col min="8968" max="8968" width="10.28515625" customWidth="1"/>
    <col min="8969" max="8970" width="9.140625" customWidth="1"/>
    <col min="8972" max="8972" width="9.42578125" customWidth="1"/>
    <col min="8974" max="8974" width="10.85546875" customWidth="1"/>
    <col min="8977" max="8977" width="10" customWidth="1"/>
    <col min="8980" max="8980" width="10.5703125" customWidth="1"/>
    <col min="8983" max="8983" width="10.7109375" customWidth="1"/>
    <col min="8985" max="8985" width="11.28515625" customWidth="1"/>
    <col min="8986" max="8986" width="10.85546875" customWidth="1"/>
    <col min="9218" max="9218" width="4" customWidth="1"/>
    <col min="9219" max="9219" width="36.42578125" customWidth="1"/>
    <col min="9220" max="9220" width="6.5703125" customWidth="1"/>
    <col min="9221" max="9221" width="11.7109375" customWidth="1"/>
    <col min="9222" max="9222" width="10.5703125" customWidth="1"/>
    <col min="9223" max="9223" width="11" customWidth="1"/>
    <col min="9224" max="9224" width="10.28515625" customWidth="1"/>
    <col min="9225" max="9226" width="9.140625" customWidth="1"/>
    <col min="9228" max="9228" width="9.42578125" customWidth="1"/>
    <col min="9230" max="9230" width="10.85546875" customWidth="1"/>
    <col min="9233" max="9233" width="10" customWidth="1"/>
    <col min="9236" max="9236" width="10.5703125" customWidth="1"/>
    <col min="9239" max="9239" width="10.7109375" customWidth="1"/>
    <col min="9241" max="9241" width="11.28515625" customWidth="1"/>
    <col min="9242" max="9242" width="10.85546875" customWidth="1"/>
    <col min="9474" max="9474" width="4" customWidth="1"/>
    <col min="9475" max="9475" width="36.42578125" customWidth="1"/>
    <col min="9476" max="9476" width="6.5703125" customWidth="1"/>
    <col min="9477" max="9477" width="11.7109375" customWidth="1"/>
    <col min="9478" max="9478" width="10.5703125" customWidth="1"/>
    <col min="9479" max="9479" width="11" customWidth="1"/>
    <col min="9480" max="9480" width="10.28515625" customWidth="1"/>
    <col min="9481" max="9482" width="9.140625" customWidth="1"/>
    <col min="9484" max="9484" width="9.42578125" customWidth="1"/>
    <col min="9486" max="9486" width="10.85546875" customWidth="1"/>
    <col min="9489" max="9489" width="10" customWidth="1"/>
    <col min="9492" max="9492" width="10.5703125" customWidth="1"/>
    <col min="9495" max="9495" width="10.7109375" customWidth="1"/>
    <col min="9497" max="9497" width="11.28515625" customWidth="1"/>
    <col min="9498" max="9498" width="10.85546875" customWidth="1"/>
    <col min="9730" max="9730" width="4" customWidth="1"/>
    <col min="9731" max="9731" width="36.42578125" customWidth="1"/>
    <col min="9732" max="9732" width="6.5703125" customWidth="1"/>
    <col min="9733" max="9733" width="11.7109375" customWidth="1"/>
    <col min="9734" max="9734" width="10.5703125" customWidth="1"/>
    <col min="9735" max="9735" width="11" customWidth="1"/>
    <col min="9736" max="9736" width="10.28515625" customWidth="1"/>
    <col min="9737" max="9738" width="9.140625" customWidth="1"/>
    <col min="9740" max="9740" width="9.42578125" customWidth="1"/>
    <col min="9742" max="9742" width="10.85546875" customWidth="1"/>
    <col min="9745" max="9745" width="10" customWidth="1"/>
    <col min="9748" max="9748" width="10.5703125" customWidth="1"/>
    <col min="9751" max="9751" width="10.7109375" customWidth="1"/>
    <col min="9753" max="9753" width="11.28515625" customWidth="1"/>
    <col min="9754" max="9754" width="10.85546875" customWidth="1"/>
    <col min="9986" max="9986" width="4" customWidth="1"/>
    <col min="9987" max="9987" width="36.42578125" customWidth="1"/>
    <col min="9988" max="9988" width="6.5703125" customWidth="1"/>
    <col min="9989" max="9989" width="11.7109375" customWidth="1"/>
    <col min="9990" max="9990" width="10.5703125" customWidth="1"/>
    <col min="9991" max="9991" width="11" customWidth="1"/>
    <col min="9992" max="9992" width="10.28515625" customWidth="1"/>
    <col min="9993" max="9994" width="9.140625" customWidth="1"/>
    <col min="9996" max="9996" width="9.42578125" customWidth="1"/>
    <col min="9998" max="9998" width="10.85546875" customWidth="1"/>
    <col min="10001" max="10001" width="10" customWidth="1"/>
    <col min="10004" max="10004" width="10.5703125" customWidth="1"/>
    <col min="10007" max="10007" width="10.7109375" customWidth="1"/>
    <col min="10009" max="10009" width="11.28515625" customWidth="1"/>
    <col min="10010" max="10010" width="10.85546875" customWidth="1"/>
    <col min="10242" max="10242" width="4" customWidth="1"/>
    <col min="10243" max="10243" width="36.42578125" customWidth="1"/>
    <col min="10244" max="10244" width="6.5703125" customWidth="1"/>
    <col min="10245" max="10245" width="11.7109375" customWidth="1"/>
    <col min="10246" max="10246" width="10.5703125" customWidth="1"/>
    <col min="10247" max="10247" width="11" customWidth="1"/>
    <col min="10248" max="10248" width="10.28515625" customWidth="1"/>
    <col min="10249" max="10250" width="9.140625" customWidth="1"/>
    <col min="10252" max="10252" width="9.42578125" customWidth="1"/>
    <col min="10254" max="10254" width="10.85546875" customWidth="1"/>
    <col min="10257" max="10257" width="10" customWidth="1"/>
    <col min="10260" max="10260" width="10.5703125" customWidth="1"/>
    <col min="10263" max="10263" width="10.7109375" customWidth="1"/>
    <col min="10265" max="10265" width="11.28515625" customWidth="1"/>
    <col min="10266" max="10266" width="10.85546875" customWidth="1"/>
    <col min="10498" max="10498" width="4" customWidth="1"/>
    <col min="10499" max="10499" width="36.42578125" customWidth="1"/>
    <col min="10500" max="10500" width="6.5703125" customWidth="1"/>
    <col min="10501" max="10501" width="11.7109375" customWidth="1"/>
    <col min="10502" max="10502" width="10.5703125" customWidth="1"/>
    <col min="10503" max="10503" width="11" customWidth="1"/>
    <col min="10504" max="10504" width="10.28515625" customWidth="1"/>
    <col min="10505" max="10506" width="9.140625" customWidth="1"/>
    <col min="10508" max="10508" width="9.42578125" customWidth="1"/>
    <col min="10510" max="10510" width="10.85546875" customWidth="1"/>
    <col min="10513" max="10513" width="10" customWidth="1"/>
    <col min="10516" max="10516" width="10.5703125" customWidth="1"/>
    <col min="10519" max="10519" width="10.7109375" customWidth="1"/>
    <col min="10521" max="10521" width="11.28515625" customWidth="1"/>
    <col min="10522" max="10522" width="10.85546875" customWidth="1"/>
    <col min="10754" max="10754" width="4" customWidth="1"/>
    <col min="10755" max="10755" width="36.42578125" customWidth="1"/>
    <col min="10756" max="10756" width="6.5703125" customWidth="1"/>
    <col min="10757" max="10757" width="11.7109375" customWidth="1"/>
    <col min="10758" max="10758" width="10.5703125" customWidth="1"/>
    <col min="10759" max="10759" width="11" customWidth="1"/>
    <col min="10760" max="10760" width="10.28515625" customWidth="1"/>
    <col min="10761" max="10762" width="9.140625" customWidth="1"/>
    <col min="10764" max="10764" width="9.42578125" customWidth="1"/>
    <col min="10766" max="10766" width="10.85546875" customWidth="1"/>
    <col min="10769" max="10769" width="10" customWidth="1"/>
    <col min="10772" max="10772" width="10.5703125" customWidth="1"/>
    <col min="10775" max="10775" width="10.7109375" customWidth="1"/>
    <col min="10777" max="10777" width="11.28515625" customWidth="1"/>
    <col min="10778" max="10778" width="10.85546875" customWidth="1"/>
    <col min="11010" max="11010" width="4" customWidth="1"/>
    <col min="11011" max="11011" width="36.42578125" customWidth="1"/>
    <col min="11012" max="11012" width="6.5703125" customWidth="1"/>
    <col min="11013" max="11013" width="11.7109375" customWidth="1"/>
    <col min="11014" max="11014" width="10.5703125" customWidth="1"/>
    <col min="11015" max="11015" width="11" customWidth="1"/>
    <col min="11016" max="11016" width="10.28515625" customWidth="1"/>
    <col min="11017" max="11018" width="9.140625" customWidth="1"/>
    <col min="11020" max="11020" width="9.42578125" customWidth="1"/>
    <col min="11022" max="11022" width="10.85546875" customWidth="1"/>
    <col min="11025" max="11025" width="10" customWidth="1"/>
    <col min="11028" max="11028" width="10.5703125" customWidth="1"/>
    <col min="11031" max="11031" width="10.7109375" customWidth="1"/>
    <col min="11033" max="11033" width="11.28515625" customWidth="1"/>
    <col min="11034" max="11034" width="10.85546875" customWidth="1"/>
    <col min="11266" max="11266" width="4" customWidth="1"/>
    <col min="11267" max="11267" width="36.42578125" customWidth="1"/>
    <col min="11268" max="11268" width="6.5703125" customWidth="1"/>
    <col min="11269" max="11269" width="11.7109375" customWidth="1"/>
    <col min="11270" max="11270" width="10.5703125" customWidth="1"/>
    <col min="11271" max="11271" width="11" customWidth="1"/>
    <col min="11272" max="11272" width="10.28515625" customWidth="1"/>
    <col min="11273" max="11274" width="9.140625" customWidth="1"/>
    <col min="11276" max="11276" width="9.42578125" customWidth="1"/>
    <col min="11278" max="11278" width="10.85546875" customWidth="1"/>
    <col min="11281" max="11281" width="10" customWidth="1"/>
    <col min="11284" max="11284" width="10.5703125" customWidth="1"/>
    <col min="11287" max="11287" width="10.7109375" customWidth="1"/>
    <col min="11289" max="11289" width="11.28515625" customWidth="1"/>
    <col min="11290" max="11290" width="10.85546875" customWidth="1"/>
    <col min="11522" max="11522" width="4" customWidth="1"/>
    <col min="11523" max="11523" width="36.42578125" customWidth="1"/>
    <col min="11524" max="11524" width="6.5703125" customWidth="1"/>
    <col min="11525" max="11525" width="11.7109375" customWidth="1"/>
    <col min="11526" max="11526" width="10.5703125" customWidth="1"/>
    <col min="11527" max="11527" width="11" customWidth="1"/>
    <col min="11528" max="11528" width="10.28515625" customWidth="1"/>
    <col min="11529" max="11530" width="9.140625" customWidth="1"/>
    <col min="11532" max="11532" width="9.42578125" customWidth="1"/>
    <col min="11534" max="11534" width="10.85546875" customWidth="1"/>
    <col min="11537" max="11537" width="10" customWidth="1"/>
    <col min="11540" max="11540" width="10.5703125" customWidth="1"/>
    <col min="11543" max="11543" width="10.7109375" customWidth="1"/>
    <col min="11545" max="11545" width="11.28515625" customWidth="1"/>
    <col min="11546" max="11546" width="10.85546875" customWidth="1"/>
    <col min="11778" max="11778" width="4" customWidth="1"/>
    <col min="11779" max="11779" width="36.42578125" customWidth="1"/>
    <col min="11780" max="11780" width="6.5703125" customWidth="1"/>
    <col min="11781" max="11781" width="11.7109375" customWidth="1"/>
    <col min="11782" max="11782" width="10.5703125" customWidth="1"/>
    <col min="11783" max="11783" width="11" customWidth="1"/>
    <col min="11784" max="11784" width="10.28515625" customWidth="1"/>
    <col min="11785" max="11786" width="9.140625" customWidth="1"/>
    <col min="11788" max="11788" width="9.42578125" customWidth="1"/>
    <col min="11790" max="11790" width="10.85546875" customWidth="1"/>
    <col min="11793" max="11793" width="10" customWidth="1"/>
    <col min="11796" max="11796" width="10.5703125" customWidth="1"/>
    <col min="11799" max="11799" width="10.7109375" customWidth="1"/>
    <col min="11801" max="11801" width="11.28515625" customWidth="1"/>
    <col min="11802" max="11802" width="10.85546875" customWidth="1"/>
    <col min="12034" max="12034" width="4" customWidth="1"/>
    <col min="12035" max="12035" width="36.42578125" customWidth="1"/>
    <col min="12036" max="12036" width="6.5703125" customWidth="1"/>
    <col min="12037" max="12037" width="11.7109375" customWidth="1"/>
    <col min="12038" max="12038" width="10.5703125" customWidth="1"/>
    <col min="12039" max="12039" width="11" customWidth="1"/>
    <col min="12040" max="12040" width="10.28515625" customWidth="1"/>
    <col min="12041" max="12042" width="9.140625" customWidth="1"/>
    <col min="12044" max="12044" width="9.42578125" customWidth="1"/>
    <col min="12046" max="12046" width="10.85546875" customWidth="1"/>
    <col min="12049" max="12049" width="10" customWidth="1"/>
    <col min="12052" max="12052" width="10.5703125" customWidth="1"/>
    <col min="12055" max="12055" width="10.7109375" customWidth="1"/>
    <col min="12057" max="12057" width="11.28515625" customWidth="1"/>
    <col min="12058" max="12058" width="10.85546875" customWidth="1"/>
    <col min="12290" max="12290" width="4" customWidth="1"/>
    <col min="12291" max="12291" width="36.42578125" customWidth="1"/>
    <col min="12292" max="12292" width="6.5703125" customWidth="1"/>
    <col min="12293" max="12293" width="11.7109375" customWidth="1"/>
    <col min="12294" max="12294" width="10.5703125" customWidth="1"/>
    <col min="12295" max="12295" width="11" customWidth="1"/>
    <col min="12296" max="12296" width="10.28515625" customWidth="1"/>
    <col min="12297" max="12298" width="9.140625" customWidth="1"/>
    <col min="12300" max="12300" width="9.42578125" customWidth="1"/>
    <col min="12302" max="12302" width="10.85546875" customWidth="1"/>
    <col min="12305" max="12305" width="10" customWidth="1"/>
    <col min="12308" max="12308" width="10.5703125" customWidth="1"/>
    <col min="12311" max="12311" width="10.7109375" customWidth="1"/>
    <col min="12313" max="12313" width="11.28515625" customWidth="1"/>
    <col min="12314" max="12314" width="10.85546875" customWidth="1"/>
    <col min="12546" max="12546" width="4" customWidth="1"/>
    <col min="12547" max="12547" width="36.42578125" customWidth="1"/>
    <col min="12548" max="12548" width="6.5703125" customWidth="1"/>
    <col min="12549" max="12549" width="11.7109375" customWidth="1"/>
    <col min="12550" max="12550" width="10.5703125" customWidth="1"/>
    <col min="12551" max="12551" width="11" customWidth="1"/>
    <col min="12552" max="12552" width="10.28515625" customWidth="1"/>
    <col min="12553" max="12554" width="9.140625" customWidth="1"/>
    <col min="12556" max="12556" width="9.42578125" customWidth="1"/>
    <col min="12558" max="12558" width="10.85546875" customWidth="1"/>
    <col min="12561" max="12561" width="10" customWidth="1"/>
    <col min="12564" max="12564" width="10.5703125" customWidth="1"/>
    <col min="12567" max="12567" width="10.7109375" customWidth="1"/>
    <col min="12569" max="12569" width="11.28515625" customWidth="1"/>
    <col min="12570" max="12570" width="10.85546875" customWidth="1"/>
    <col min="12802" max="12802" width="4" customWidth="1"/>
    <col min="12803" max="12803" width="36.42578125" customWidth="1"/>
    <col min="12804" max="12804" width="6.5703125" customWidth="1"/>
    <col min="12805" max="12805" width="11.7109375" customWidth="1"/>
    <col min="12806" max="12806" width="10.5703125" customWidth="1"/>
    <col min="12807" max="12807" width="11" customWidth="1"/>
    <col min="12808" max="12808" width="10.28515625" customWidth="1"/>
    <col min="12809" max="12810" width="9.140625" customWidth="1"/>
    <col min="12812" max="12812" width="9.42578125" customWidth="1"/>
    <col min="12814" max="12814" width="10.85546875" customWidth="1"/>
    <col min="12817" max="12817" width="10" customWidth="1"/>
    <col min="12820" max="12820" width="10.5703125" customWidth="1"/>
    <col min="12823" max="12823" width="10.7109375" customWidth="1"/>
    <col min="12825" max="12825" width="11.28515625" customWidth="1"/>
    <col min="12826" max="12826" width="10.85546875" customWidth="1"/>
    <col min="13058" max="13058" width="4" customWidth="1"/>
    <col min="13059" max="13059" width="36.42578125" customWidth="1"/>
    <col min="13060" max="13060" width="6.5703125" customWidth="1"/>
    <col min="13061" max="13061" width="11.7109375" customWidth="1"/>
    <col min="13062" max="13062" width="10.5703125" customWidth="1"/>
    <col min="13063" max="13063" width="11" customWidth="1"/>
    <col min="13064" max="13064" width="10.28515625" customWidth="1"/>
    <col min="13065" max="13066" width="9.140625" customWidth="1"/>
    <col min="13068" max="13068" width="9.42578125" customWidth="1"/>
    <col min="13070" max="13070" width="10.85546875" customWidth="1"/>
    <col min="13073" max="13073" width="10" customWidth="1"/>
    <col min="13076" max="13076" width="10.5703125" customWidth="1"/>
    <col min="13079" max="13079" width="10.7109375" customWidth="1"/>
    <col min="13081" max="13081" width="11.28515625" customWidth="1"/>
    <col min="13082" max="13082" width="10.85546875" customWidth="1"/>
    <col min="13314" max="13314" width="4" customWidth="1"/>
    <col min="13315" max="13315" width="36.42578125" customWidth="1"/>
    <col min="13316" max="13316" width="6.5703125" customWidth="1"/>
    <col min="13317" max="13317" width="11.7109375" customWidth="1"/>
    <col min="13318" max="13318" width="10.5703125" customWidth="1"/>
    <col min="13319" max="13319" width="11" customWidth="1"/>
    <col min="13320" max="13320" width="10.28515625" customWidth="1"/>
    <col min="13321" max="13322" width="9.140625" customWidth="1"/>
    <col min="13324" max="13324" width="9.42578125" customWidth="1"/>
    <col min="13326" max="13326" width="10.85546875" customWidth="1"/>
    <col min="13329" max="13329" width="10" customWidth="1"/>
    <col min="13332" max="13332" width="10.5703125" customWidth="1"/>
    <col min="13335" max="13335" width="10.7109375" customWidth="1"/>
    <col min="13337" max="13337" width="11.28515625" customWidth="1"/>
    <col min="13338" max="13338" width="10.85546875" customWidth="1"/>
    <col min="13570" max="13570" width="4" customWidth="1"/>
    <col min="13571" max="13571" width="36.42578125" customWidth="1"/>
    <col min="13572" max="13572" width="6.5703125" customWidth="1"/>
    <col min="13573" max="13573" width="11.7109375" customWidth="1"/>
    <col min="13574" max="13574" width="10.5703125" customWidth="1"/>
    <col min="13575" max="13575" width="11" customWidth="1"/>
    <col min="13576" max="13576" width="10.28515625" customWidth="1"/>
    <col min="13577" max="13578" width="9.140625" customWidth="1"/>
    <col min="13580" max="13580" width="9.42578125" customWidth="1"/>
    <col min="13582" max="13582" width="10.85546875" customWidth="1"/>
    <col min="13585" max="13585" width="10" customWidth="1"/>
    <col min="13588" max="13588" width="10.5703125" customWidth="1"/>
    <col min="13591" max="13591" width="10.7109375" customWidth="1"/>
    <col min="13593" max="13593" width="11.28515625" customWidth="1"/>
    <col min="13594" max="13594" width="10.85546875" customWidth="1"/>
    <col min="13826" max="13826" width="4" customWidth="1"/>
    <col min="13827" max="13827" width="36.42578125" customWidth="1"/>
    <col min="13828" max="13828" width="6.5703125" customWidth="1"/>
    <col min="13829" max="13829" width="11.7109375" customWidth="1"/>
    <col min="13830" max="13830" width="10.5703125" customWidth="1"/>
    <col min="13831" max="13831" width="11" customWidth="1"/>
    <col min="13832" max="13832" width="10.28515625" customWidth="1"/>
    <col min="13833" max="13834" width="9.140625" customWidth="1"/>
    <col min="13836" max="13836" width="9.42578125" customWidth="1"/>
    <col min="13838" max="13838" width="10.85546875" customWidth="1"/>
    <col min="13841" max="13841" width="10" customWidth="1"/>
    <col min="13844" max="13844" width="10.5703125" customWidth="1"/>
    <col min="13847" max="13847" width="10.7109375" customWidth="1"/>
    <col min="13849" max="13849" width="11.28515625" customWidth="1"/>
    <col min="13850" max="13850" width="10.85546875" customWidth="1"/>
    <col min="14082" max="14082" width="4" customWidth="1"/>
    <col min="14083" max="14083" width="36.42578125" customWidth="1"/>
    <col min="14084" max="14084" width="6.5703125" customWidth="1"/>
    <col min="14085" max="14085" width="11.7109375" customWidth="1"/>
    <col min="14086" max="14086" width="10.5703125" customWidth="1"/>
    <col min="14087" max="14087" width="11" customWidth="1"/>
    <col min="14088" max="14088" width="10.28515625" customWidth="1"/>
    <col min="14089" max="14090" width="9.140625" customWidth="1"/>
    <col min="14092" max="14092" width="9.42578125" customWidth="1"/>
    <col min="14094" max="14094" width="10.85546875" customWidth="1"/>
    <col min="14097" max="14097" width="10" customWidth="1"/>
    <col min="14100" max="14100" width="10.5703125" customWidth="1"/>
    <col min="14103" max="14103" width="10.7109375" customWidth="1"/>
    <col min="14105" max="14105" width="11.28515625" customWidth="1"/>
    <col min="14106" max="14106" width="10.85546875" customWidth="1"/>
    <col min="14338" max="14338" width="4" customWidth="1"/>
    <col min="14339" max="14339" width="36.42578125" customWidth="1"/>
    <col min="14340" max="14340" width="6.5703125" customWidth="1"/>
    <col min="14341" max="14341" width="11.7109375" customWidth="1"/>
    <col min="14342" max="14342" width="10.5703125" customWidth="1"/>
    <col min="14343" max="14343" width="11" customWidth="1"/>
    <col min="14344" max="14344" width="10.28515625" customWidth="1"/>
    <col min="14345" max="14346" width="9.140625" customWidth="1"/>
    <col min="14348" max="14348" width="9.42578125" customWidth="1"/>
    <col min="14350" max="14350" width="10.85546875" customWidth="1"/>
    <col min="14353" max="14353" width="10" customWidth="1"/>
    <col min="14356" max="14356" width="10.5703125" customWidth="1"/>
    <col min="14359" max="14359" width="10.7109375" customWidth="1"/>
    <col min="14361" max="14361" width="11.28515625" customWidth="1"/>
    <col min="14362" max="14362" width="10.85546875" customWidth="1"/>
    <col min="14594" max="14594" width="4" customWidth="1"/>
    <col min="14595" max="14595" width="36.42578125" customWidth="1"/>
    <col min="14596" max="14596" width="6.5703125" customWidth="1"/>
    <col min="14597" max="14597" width="11.7109375" customWidth="1"/>
    <col min="14598" max="14598" width="10.5703125" customWidth="1"/>
    <col min="14599" max="14599" width="11" customWidth="1"/>
    <col min="14600" max="14600" width="10.28515625" customWidth="1"/>
    <col min="14601" max="14602" width="9.140625" customWidth="1"/>
    <col min="14604" max="14604" width="9.42578125" customWidth="1"/>
    <col min="14606" max="14606" width="10.85546875" customWidth="1"/>
    <col min="14609" max="14609" width="10" customWidth="1"/>
    <col min="14612" max="14612" width="10.5703125" customWidth="1"/>
    <col min="14615" max="14615" width="10.7109375" customWidth="1"/>
    <col min="14617" max="14617" width="11.28515625" customWidth="1"/>
    <col min="14618" max="14618" width="10.85546875" customWidth="1"/>
    <col min="14850" max="14850" width="4" customWidth="1"/>
    <col min="14851" max="14851" width="36.42578125" customWidth="1"/>
    <col min="14852" max="14852" width="6.5703125" customWidth="1"/>
    <col min="14853" max="14853" width="11.7109375" customWidth="1"/>
    <col min="14854" max="14854" width="10.5703125" customWidth="1"/>
    <col min="14855" max="14855" width="11" customWidth="1"/>
    <col min="14856" max="14856" width="10.28515625" customWidth="1"/>
    <col min="14857" max="14858" width="9.140625" customWidth="1"/>
    <col min="14860" max="14860" width="9.42578125" customWidth="1"/>
    <col min="14862" max="14862" width="10.85546875" customWidth="1"/>
    <col min="14865" max="14865" width="10" customWidth="1"/>
    <col min="14868" max="14868" width="10.5703125" customWidth="1"/>
    <col min="14871" max="14871" width="10.7109375" customWidth="1"/>
    <col min="14873" max="14873" width="11.28515625" customWidth="1"/>
    <col min="14874" max="14874" width="10.85546875" customWidth="1"/>
    <col min="15106" max="15106" width="4" customWidth="1"/>
    <col min="15107" max="15107" width="36.42578125" customWidth="1"/>
    <col min="15108" max="15108" width="6.5703125" customWidth="1"/>
    <col min="15109" max="15109" width="11.7109375" customWidth="1"/>
    <col min="15110" max="15110" width="10.5703125" customWidth="1"/>
    <col min="15111" max="15111" width="11" customWidth="1"/>
    <col min="15112" max="15112" width="10.28515625" customWidth="1"/>
    <col min="15113" max="15114" width="9.140625" customWidth="1"/>
    <col min="15116" max="15116" width="9.42578125" customWidth="1"/>
    <col min="15118" max="15118" width="10.85546875" customWidth="1"/>
    <col min="15121" max="15121" width="10" customWidth="1"/>
    <col min="15124" max="15124" width="10.5703125" customWidth="1"/>
    <col min="15127" max="15127" width="10.7109375" customWidth="1"/>
    <col min="15129" max="15129" width="11.28515625" customWidth="1"/>
    <col min="15130" max="15130" width="10.85546875" customWidth="1"/>
    <col min="15362" max="15362" width="4" customWidth="1"/>
    <col min="15363" max="15363" width="36.42578125" customWidth="1"/>
    <col min="15364" max="15364" width="6.5703125" customWidth="1"/>
    <col min="15365" max="15365" width="11.7109375" customWidth="1"/>
    <col min="15366" max="15366" width="10.5703125" customWidth="1"/>
    <col min="15367" max="15367" width="11" customWidth="1"/>
    <col min="15368" max="15368" width="10.28515625" customWidth="1"/>
    <col min="15369" max="15370" width="9.140625" customWidth="1"/>
    <col min="15372" max="15372" width="9.42578125" customWidth="1"/>
    <col min="15374" max="15374" width="10.85546875" customWidth="1"/>
    <col min="15377" max="15377" width="10" customWidth="1"/>
    <col min="15380" max="15380" width="10.5703125" customWidth="1"/>
    <col min="15383" max="15383" width="10.7109375" customWidth="1"/>
    <col min="15385" max="15385" width="11.28515625" customWidth="1"/>
    <col min="15386" max="15386" width="10.85546875" customWidth="1"/>
    <col min="15618" max="15618" width="4" customWidth="1"/>
    <col min="15619" max="15619" width="36.42578125" customWidth="1"/>
    <col min="15620" max="15620" width="6.5703125" customWidth="1"/>
    <col min="15621" max="15621" width="11.7109375" customWidth="1"/>
    <col min="15622" max="15622" width="10.5703125" customWidth="1"/>
    <col min="15623" max="15623" width="11" customWidth="1"/>
    <col min="15624" max="15624" width="10.28515625" customWidth="1"/>
    <col min="15625" max="15626" width="9.140625" customWidth="1"/>
    <col min="15628" max="15628" width="9.42578125" customWidth="1"/>
    <col min="15630" max="15630" width="10.85546875" customWidth="1"/>
    <col min="15633" max="15633" width="10" customWidth="1"/>
    <col min="15636" max="15636" width="10.5703125" customWidth="1"/>
    <col min="15639" max="15639" width="10.7109375" customWidth="1"/>
    <col min="15641" max="15641" width="11.28515625" customWidth="1"/>
    <col min="15642" max="15642" width="10.85546875" customWidth="1"/>
    <col min="15874" max="15874" width="4" customWidth="1"/>
    <col min="15875" max="15875" width="36.42578125" customWidth="1"/>
    <col min="15876" max="15876" width="6.5703125" customWidth="1"/>
    <col min="15877" max="15877" width="11.7109375" customWidth="1"/>
    <col min="15878" max="15878" width="10.5703125" customWidth="1"/>
    <col min="15879" max="15879" width="11" customWidth="1"/>
    <col min="15880" max="15880" width="10.28515625" customWidth="1"/>
    <col min="15881" max="15882" width="9.140625" customWidth="1"/>
    <col min="15884" max="15884" width="9.42578125" customWidth="1"/>
    <col min="15886" max="15886" width="10.85546875" customWidth="1"/>
    <col min="15889" max="15889" width="10" customWidth="1"/>
    <col min="15892" max="15892" width="10.5703125" customWidth="1"/>
    <col min="15895" max="15895" width="10.7109375" customWidth="1"/>
    <col min="15897" max="15897" width="11.28515625" customWidth="1"/>
    <col min="15898" max="15898" width="10.85546875" customWidth="1"/>
    <col min="16130" max="16130" width="4" customWidth="1"/>
    <col min="16131" max="16131" width="36.42578125" customWidth="1"/>
    <col min="16132" max="16132" width="6.5703125" customWidth="1"/>
    <col min="16133" max="16133" width="11.7109375" customWidth="1"/>
    <col min="16134" max="16134" width="10.5703125" customWidth="1"/>
    <col min="16135" max="16135" width="11" customWidth="1"/>
    <col min="16136" max="16136" width="10.28515625" customWidth="1"/>
    <col min="16137" max="16138" width="9.140625" customWidth="1"/>
    <col min="16140" max="16140" width="9.42578125" customWidth="1"/>
    <col min="16142" max="16142" width="10.85546875" customWidth="1"/>
    <col min="16145" max="16145" width="10" customWidth="1"/>
    <col min="16148" max="16148" width="10.5703125" customWidth="1"/>
    <col min="16151" max="16151" width="10.7109375" customWidth="1"/>
    <col min="16153" max="16153" width="11.28515625" customWidth="1"/>
    <col min="16154" max="16154" width="10.85546875" customWidth="1"/>
  </cols>
  <sheetData>
    <row r="1" spans="1:45">
      <c r="A1" s="16" t="s">
        <v>251</v>
      </c>
      <c r="C1" s="8" t="s">
        <v>159</v>
      </c>
      <c r="D1" s="8" t="s">
        <v>160</v>
      </c>
      <c r="E1" s="8" t="s">
        <v>161</v>
      </c>
      <c r="F1" s="8" t="s">
        <v>162</v>
      </c>
      <c r="G1" s="8" t="s">
        <v>163</v>
      </c>
      <c r="H1" s="8" t="s">
        <v>164</v>
      </c>
      <c r="I1" s="8" t="s">
        <v>252</v>
      </c>
      <c r="J1" s="8"/>
      <c r="K1" s="8"/>
      <c r="L1" s="8"/>
      <c r="M1" s="8"/>
      <c r="N1" s="8"/>
      <c r="O1" s="8"/>
      <c r="P1" s="9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5">
      <c r="B2" s="8" t="s">
        <v>158</v>
      </c>
      <c r="D2" s="8" t="s">
        <v>258</v>
      </c>
      <c r="E2" s="8" t="s">
        <v>259</v>
      </c>
      <c r="F2" s="8">
        <f>+D4</f>
        <v>2022</v>
      </c>
      <c r="G2" s="8" t="s">
        <v>258</v>
      </c>
      <c r="H2" s="8" t="s">
        <v>259</v>
      </c>
      <c r="I2" s="205">
        <f>+G4</f>
        <v>2023</v>
      </c>
      <c r="J2" s="202"/>
      <c r="K2" s="202"/>
      <c r="L2" s="205"/>
      <c r="M2" s="202"/>
      <c r="N2" s="202"/>
      <c r="O2" s="205"/>
      <c r="P2" s="202"/>
      <c r="Q2" s="202"/>
      <c r="R2" s="205"/>
      <c r="S2" s="202"/>
      <c r="T2" s="202"/>
      <c r="U2" s="205"/>
      <c r="V2" s="202"/>
      <c r="W2" s="202"/>
      <c r="X2" s="205"/>
      <c r="Y2" s="202"/>
      <c r="Z2" s="202"/>
      <c r="AA2" s="205"/>
      <c r="AB2" s="202"/>
      <c r="AC2" s="202"/>
      <c r="AD2" s="205"/>
      <c r="AE2" s="202"/>
      <c r="AF2" s="202"/>
      <c r="AG2" s="205"/>
      <c r="AH2" s="202"/>
      <c r="AI2" s="202"/>
      <c r="AJ2" s="205"/>
      <c r="AK2" s="202"/>
      <c r="AL2" s="202"/>
      <c r="AM2" s="205"/>
      <c r="AN2" s="202"/>
      <c r="AO2" s="202"/>
      <c r="AP2" s="205"/>
      <c r="AQ2" s="202"/>
      <c r="AR2" s="202"/>
      <c r="AS2" s="202"/>
    </row>
    <row r="3" spans="1:45">
      <c r="C3" s="8" t="s">
        <v>260</v>
      </c>
      <c r="D3" s="8" t="s">
        <v>261</v>
      </c>
      <c r="E3" s="8" t="s">
        <v>262</v>
      </c>
      <c r="F3" s="8" t="s">
        <v>263</v>
      </c>
      <c r="G3" s="8" t="s">
        <v>261</v>
      </c>
      <c r="H3" s="8" t="s">
        <v>262</v>
      </c>
      <c r="I3" s="8" t="s">
        <v>263</v>
      </c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</row>
    <row r="4" spans="1:45">
      <c r="C4" s="8" t="s">
        <v>264</v>
      </c>
      <c r="D4" s="202">
        <v>2022</v>
      </c>
      <c r="E4" s="8" t="s">
        <v>265</v>
      </c>
      <c r="F4" s="8" t="s">
        <v>266</v>
      </c>
      <c r="G4" s="202">
        <f>+D4+1</f>
        <v>2023</v>
      </c>
      <c r="H4" s="8" t="s">
        <v>265</v>
      </c>
      <c r="I4" s="8" t="s">
        <v>266</v>
      </c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30"/>
      <c r="AR4" s="202"/>
      <c r="AS4" s="202"/>
    </row>
    <row r="5" spans="1:45">
      <c r="A5">
        <v>1</v>
      </c>
      <c r="B5" t="s">
        <v>267</v>
      </c>
      <c r="C5" s="31">
        <v>50</v>
      </c>
      <c r="D5" s="106">
        <f>+'[3]Investment Base'!$F$12+'[3]Investment Base'!$F$25</f>
        <v>10360211.274685062</v>
      </c>
      <c r="E5" s="152">
        <v>3.0200000000000001E-2</v>
      </c>
      <c r="F5" s="125">
        <f>PMT(E5,$C5,D5,0,0)*-1</f>
        <v>404185.17677690624</v>
      </c>
      <c r="G5" s="125">
        <f>+'[3]Investment Base'!$M$25+'[3]Investment Base'!$M$12</f>
        <v>10639207.568477424</v>
      </c>
      <c r="H5" s="152">
        <v>3.3989999999999999E-2</v>
      </c>
      <c r="I5" s="106">
        <f>PMT(H5,$C5,G5,0,0)*-1</f>
        <v>445359.02427969669</v>
      </c>
      <c r="J5" s="106"/>
      <c r="K5" s="152"/>
      <c r="L5" s="125"/>
      <c r="M5" s="125"/>
      <c r="N5" s="152"/>
      <c r="O5" s="106"/>
      <c r="P5" s="106"/>
      <c r="Q5" s="152"/>
      <c r="R5" s="125"/>
      <c r="S5" s="125"/>
      <c r="T5" s="152"/>
      <c r="U5" s="106"/>
      <c r="V5" s="106"/>
      <c r="W5" s="152"/>
      <c r="X5" s="125"/>
      <c r="Y5" s="125"/>
      <c r="Z5" s="152"/>
      <c r="AA5" s="106"/>
      <c r="AB5" s="106"/>
      <c r="AC5" s="152"/>
      <c r="AD5" s="125"/>
      <c r="AE5" s="125"/>
      <c r="AF5" s="152"/>
      <c r="AG5" s="106"/>
      <c r="AH5" s="106"/>
      <c r="AI5" s="152"/>
      <c r="AJ5" s="125"/>
      <c r="AK5" s="125"/>
      <c r="AL5" s="152"/>
      <c r="AM5" s="106"/>
      <c r="AN5" s="125"/>
      <c r="AO5" s="152"/>
      <c r="AP5" s="125"/>
      <c r="AQ5" s="125"/>
      <c r="AR5" s="152"/>
      <c r="AS5" s="106"/>
    </row>
    <row r="6" spans="1:45">
      <c r="C6" s="31"/>
      <c r="D6" s="106"/>
      <c r="E6" s="152"/>
      <c r="F6" s="125"/>
      <c r="G6" s="125"/>
      <c r="H6" s="152"/>
      <c r="I6" s="106"/>
      <c r="J6" s="106"/>
      <c r="K6" s="152"/>
      <c r="L6" s="125"/>
      <c r="M6" s="125"/>
      <c r="N6" s="152"/>
      <c r="O6" s="106"/>
      <c r="P6" s="106"/>
      <c r="Q6" s="152"/>
      <c r="R6" s="125"/>
      <c r="S6" s="125"/>
      <c r="T6" s="152"/>
      <c r="U6" s="106"/>
      <c r="V6" s="106"/>
      <c r="W6" s="152"/>
      <c r="X6" s="125"/>
      <c r="Y6" s="106"/>
      <c r="Z6" s="152"/>
      <c r="AA6" s="106"/>
      <c r="AB6" s="106"/>
      <c r="AC6" s="152"/>
      <c r="AD6" s="125"/>
      <c r="AE6" s="106"/>
      <c r="AF6" s="152"/>
      <c r="AG6" s="106"/>
      <c r="AH6" s="106"/>
      <c r="AI6" s="152"/>
      <c r="AJ6" s="125"/>
      <c r="AK6" s="125"/>
      <c r="AL6" s="152"/>
      <c r="AM6" s="106"/>
      <c r="AN6" s="106"/>
      <c r="AO6" s="152"/>
      <c r="AP6" s="125"/>
      <c r="AQ6" s="125"/>
      <c r="AR6" s="152"/>
      <c r="AS6" s="106"/>
    </row>
    <row r="7" spans="1:45">
      <c r="A7">
        <v>2</v>
      </c>
      <c r="B7" t="s">
        <v>268</v>
      </c>
      <c r="C7">
        <v>15</v>
      </c>
      <c r="D7" s="107">
        <f>+'[3]Investment Base'!$F$39</f>
        <v>525886.98285999999</v>
      </c>
      <c r="E7" s="152">
        <v>3.5569999999999997E-2</v>
      </c>
      <c r="F7" s="126">
        <f>PMT(E7,$C7,D7,0,0)*-1</f>
        <v>45845.463419890591</v>
      </c>
      <c r="G7" s="126">
        <f>+'[3]Investment Base'!$M$39</f>
        <v>542133.98285999999</v>
      </c>
      <c r="H7" s="152">
        <v>3.5639999999999998E-2</v>
      </c>
      <c r="I7" s="107">
        <f>PMT(H7,$C7,G7,0,0)*-1</f>
        <v>47285.320536938234</v>
      </c>
      <c r="J7" s="107"/>
      <c r="K7" s="152"/>
      <c r="L7" s="126"/>
      <c r="M7" s="126"/>
      <c r="N7" s="152"/>
      <c r="O7" s="107"/>
      <c r="P7" s="107"/>
      <c r="Q7" s="152"/>
      <c r="R7" s="126"/>
      <c r="S7" s="126"/>
      <c r="T7" s="152"/>
      <c r="U7" s="107"/>
      <c r="V7" s="107"/>
      <c r="W7" s="152"/>
      <c r="X7" s="126"/>
      <c r="Y7" s="126"/>
      <c r="Z7" s="152"/>
      <c r="AA7" s="107"/>
      <c r="AB7" s="107"/>
      <c r="AC7" s="152"/>
      <c r="AD7" s="126"/>
      <c r="AE7" s="126"/>
      <c r="AF7" s="152"/>
      <c r="AG7" s="107"/>
      <c r="AH7" s="107"/>
      <c r="AI7" s="152"/>
      <c r="AJ7" s="126"/>
      <c r="AK7" s="126"/>
      <c r="AL7" s="152"/>
      <c r="AM7" s="107"/>
      <c r="AN7" s="107"/>
      <c r="AO7" s="152"/>
      <c r="AP7" s="126"/>
      <c r="AQ7" s="126"/>
      <c r="AR7" s="152"/>
      <c r="AS7" s="107"/>
    </row>
    <row r="8" spans="1:45">
      <c r="A8">
        <v>3</v>
      </c>
      <c r="B8" t="s">
        <v>269</v>
      </c>
      <c r="C8" s="31">
        <f>C19</f>
        <v>16.857378228388473</v>
      </c>
      <c r="D8" s="107">
        <f>+'[3]Investment Base'!$F$43</f>
        <v>78976.816999999995</v>
      </c>
      <c r="E8" s="152">
        <v>1.6688000000000001E-2</v>
      </c>
      <c r="F8" s="126">
        <f>PMT(E8,$C8,D8,0,0)*-1</f>
        <v>5413.5687697332642</v>
      </c>
      <c r="G8" s="126">
        <f>+'[3]Investment Base'!$M$43</f>
        <v>84291.816999999995</v>
      </c>
      <c r="H8" s="152">
        <v>1.6282999999999999E-2</v>
      </c>
      <c r="I8" s="107">
        <f>PMT(H8,F19,G8,0,0)*-1</f>
        <v>4979.3621065282878</v>
      </c>
      <c r="J8" s="107"/>
      <c r="K8" s="152"/>
      <c r="L8" s="107"/>
      <c r="M8" s="126"/>
      <c r="N8" s="152"/>
      <c r="O8" s="107"/>
      <c r="P8" s="107"/>
      <c r="Q8" s="152"/>
      <c r="R8" s="107"/>
      <c r="S8" s="126"/>
      <c r="T8" s="152"/>
      <c r="U8" s="107"/>
      <c r="V8" s="107"/>
      <c r="W8" s="152"/>
      <c r="X8" s="107"/>
      <c r="Y8" s="126"/>
      <c r="Z8" s="152"/>
      <c r="AA8" s="107"/>
      <c r="AB8" s="107"/>
      <c r="AC8" s="152"/>
      <c r="AD8" s="107"/>
      <c r="AE8" s="126"/>
      <c r="AF8" s="152"/>
      <c r="AG8" s="107"/>
      <c r="AH8" s="107"/>
      <c r="AI8" s="152"/>
      <c r="AJ8" s="107"/>
      <c r="AK8" s="126"/>
      <c r="AL8" s="152"/>
      <c r="AM8" s="107"/>
      <c r="AN8" s="107"/>
      <c r="AO8" s="152"/>
      <c r="AP8" s="107"/>
      <c r="AQ8" s="126"/>
      <c r="AR8" s="152"/>
      <c r="AS8" s="107"/>
    </row>
    <row r="9" spans="1:45" s="6" customFormat="1">
      <c r="A9" s="6">
        <v>4</v>
      </c>
      <c r="B9" s="6" t="s">
        <v>270</v>
      </c>
      <c r="C9" s="206">
        <v>12</v>
      </c>
      <c r="D9" s="125">
        <f>+'[3]Investment Base'!$F$35</f>
        <v>484750</v>
      </c>
      <c r="E9" s="152">
        <v>2.879E-2</v>
      </c>
      <c r="F9" s="125">
        <f>PMT(E9,$C9,D9,0,0)*-1</f>
        <v>48347.909803343602</v>
      </c>
      <c r="G9" s="125">
        <f>+'[3]Investment Base'!$M$35</f>
        <v>484750</v>
      </c>
      <c r="H9" s="152">
        <v>2.879E-2</v>
      </c>
      <c r="I9" s="125">
        <f>PMT(H9,F23,G9,0,0)*-1</f>
        <v>40909.497751389645</v>
      </c>
      <c r="J9" s="125"/>
      <c r="K9" s="152"/>
      <c r="L9" s="125"/>
      <c r="M9" s="125"/>
      <c r="N9" s="152"/>
      <c r="O9" s="125"/>
      <c r="P9" s="125"/>
      <c r="Q9" s="152"/>
      <c r="R9" s="125"/>
      <c r="S9" s="125"/>
      <c r="T9" s="152"/>
      <c r="U9" s="125"/>
      <c r="V9" s="125"/>
      <c r="W9" s="152"/>
      <c r="X9" s="125"/>
      <c r="Y9" s="125"/>
      <c r="Z9" s="152"/>
      <c r="AA9" s="125"/>
      <c r="AB9" s="125"/>
      <c r="AC9" s="152"/>
      <c r="AD9" s="125"/>
      <c r="AE9" s="125"/>
      <c r="AF9" s="152"/>
      <c r="AG9" s="125"/>
      <c r="AH9" s="125"/>
      <c r="AI9" s="152"/>
      <c r="AJ9" s="125"/>
      <c r="AK9" s="125"/>
      <c r="AL9" s="152"/>
      <c r="AM9" s="125"/>
      <c r="AN9" s="125"/>
      <c r="AO9" s="152"/>
      <c r="AP9" s="125"/>
      <c r="AQ9" s="125"/>
      <c r="AR9" s="152"/>
      <c r="AS9" s="125"/>
    </row>
    <row r="10" spans="1:45">
      <c r="D10" s="106"/>
      <c r="F10" s="106">
        <f>SUM(F7:F9)</f>
        <v>99606.941992967448</v>
      </c>
      <c r="G10" s="106"/>
      <c r="H10" s="6"/>
      <c r="I10" s="106">
        <f>SUM(I7:I9)</f>
        <v>93174.180394856172</v>
      </c>
      <c r="J10" s="106"/>
      <c r="L10" s="106"/>
      <c r="M10" s="106"/>
      <c r="N10" s="6"/>
      <c r="O10" s="106"/>
      <c r="P10" s="106"/>
      <c r="R10" s="106"/>
      <c r="S10" s="106"/>
      <c r="T10" s="6"/>
      <c r="U10" s="106"/>
      <c r="V10" s="106"/>
      <c r="X10" s="106"/>
      <c r="Y10" s="106"/>
      <c r="Z10" s="6"/>
      <c r="AA10" s="106"/>
      <c r="AB10" s="106"/>
      <c r="AD10" s="106"/>
      <c r="AE10" s="106"/>
      <c r="AF10" s="6"/>
      <c r="AG10" s="106"/>
      <c r="AH10" s="106"/>
      <c r="AJ10" s="106"/>
      <c r="AK10" s="106"/>
      <c r="AL10" s="6"/>
      <c r="AM10" s="106"/>
      <c r="AN10" s="106"/>
      <c r="AP10" s="106"/>
      <c r="AQ10" s="106"/>
      <c r="AR10" s="6"/>
      <c r="AS10" s="106"/>
    </row>
    <row r="11" spans="1:45">
      <c r="D11" s="106"/>
      <c r="F11" s="106"/>
      <c r="G11" s="106"/>
      <c r="I11" s="106"/>
    </row>
    <row r="12" spans="1:45">
      <c r="D12" s="106"/>
      <c r="F12" s="106"/>
      <c r="G12" s="106"/>
      <c r="I12" s="106"/>
    </row>
    <row r="13" spans="1:45">
      <c r="C13" t="s">
        <v>604</v>
      </c>
      <c r="D13" s="170" t="s">
        <v>258</v>
      </c>
      <c r="E13" s="16" t="s">
        <v>605</v>
      </c>
      <c r="F13" t="s">
        <v>604</v>
      </c>
      <c r="G13" s="170" t="s">
        <v>258</v>
      </c>
      <c r="H13" s="16" t="s">
        <v>605</v>
      </c>
      <c r="I13" t="s">
        <v>604</v>
      </c>
      <c r="J13" s="202"/>
      <c r="K13" s="16"/>
      <c r="M13" s="202"/>
      <c r="N13" s="16"/>
      <c r="P13" s="202"/>
      <c r="Q13" s="16"/>
      <c r="S13" s="202"/>
      <c r="T13" s="16"/>
      <c r="V13" s="202"/>
      <c r="W13" s="16"/>
      <c r="Y13" s="202"/>
      <c r="Z13" s="16"/>
      <c r="AB13" s="202"/>
      <c r="AC13" s="16"/>
      <c r="AE13" s="202"/>
      <c r="AF13" s="16"/>
      <c r="AH13" s="202"/>
      <c r="AI13" s="16"/>
      <c r="AK13" s="202"/>
      <c r="AL13" s="16"/>
      <c r="AN13" s="202"/>
      <c r="AO13" s="16"/>
      <c r="AQ13" s="202"/>
      <c r="AR13" s="16"/>
    </row>
    <row r="14" spans="1:45">
      <c r="C14" s="170" t="s">
        <v>260</v>
      </c>
      <c r="D14" s="170" t="s">
        <v>261</v>
      </c>
      <c r="E14" s="16" t="s">
        <v>606</v>
      </c>
      <c r="F14" s="170" t="s">
        <v>260</v>
      </c>
      <c r="G14" s="170" t="s">
        <v>261</v>
      </c>
      <c r="H14" s="16" t="s">
        <v>606</v>
      </c>
      <c r="I14" s="202" t="s">
        <v>260</v>
      </c>
      <c r="J14" s="202"/>
      <c r="K14" s="16"/>
      <c r="L14" s="202"/>
      <c r="M14" s="202"/>
      <c r="N14" s="16"/>
      <c r="O14" s="202"/>
      <c r="P14" s="202"/>
      <c r="Q14" s="16"/>
      <c r="R14" s="202"/>
      <c r="S14" s="202"/>
      <c r="T14" s="16"/>
      <c r="U14" s="202"/>
      <c r="V14" s="202"/>
      <c r="W14" s="16"/>
      <c r="X14" s="202"/>
      <c r="Y14" s="202"/>
      <c r="Z14" s="16"/>
      <c r="AA14" s="202"/>
      <c r="AB14" s="202"/>
      <c r="AC14" s="16"/>
      <c r="AD14" s="202"/>
      <c r="AE14" s="202"/>
      <c r="AF14" s="16"/>
      <c r="AG14" s="202"/>
      <c r="AH14" s="202"/>
      <c r="AI14" s="16"/>
      <c r="AJ14" s="202"/>
      <c r="AK14" s="202"/>
      <c r="AL14" s="16"/>
      <c r="AM14" s="202"/>
      <c r="AN14" s="202"/>
      <c r="AO14" s="16"/>
      <c r="AP14" s="202"/>
      <c r="AQ14" s="202"/>
      <c r="AR14" s="16"/>
    </row>
    <row r="15" spans="1:45">
      <c r="B15" s="16" t="s">
        <v>271</v>
      </c>
      <c r="C15" s="170" t="s">
        <v>264</v>
      </c>
      <c r="D15" s="202">
        <f>+D4</f>
        <v>2022</v>
      </c>
      <c r="E15" s="16" t="s">
        <v>550</v>
      </c>
      <c r="F15" s="170" t="s">
        <v>264</v>
      </c>
      <c r="G15" s="202">
        <f>+G4</f>
        <v>2023</v>
      </c>
      <c r="H15" s="16" t="s">
        <v>550</v>
      </c>
      <c r="I15" s="202" t="s">
        <v>264</v>
      </c>
      <c r="J15" s="202"/>
      <c r="K15" s="16"/>
      <c r="L15" s="202"/>
      <c r="M15" s="202"/>
      <c r="N15" s="16"/>
      <c r="O15" s="202"/>
      <c r="P15" s="202"/>
      <c r="Q15" s="16"/>
      <c r="R15" s="202"/>
      <c r="S15" s="202"/>
      <c r="T15" s="16"/>
      <c r="U15" s="202"/>
      <c r="V15" s="202"/>
      <c r="W15" s="16"/>
      <c r="X15" s="202"/>
      <c r="Y15" s="202"/>
      <c r="Z15" s="16"/>
      <c r="AA15" s="202"/>
      <c r="AB15" s="202"/>
      <c r="AC15" s="16"/>
      <c r="AD15" s="202"/>
      <c r="AE15" s="202"/>
      <c r="AF15" s="16"/>
      <c r="AG15" s="202"/>
      <c r="AH15" s="202"/>
      <c r="AI15" s="16"/>
      <c r="AJ15" s="202"/>
      <c r="AK15" s="202"/>
      <c r="AL15" s="16"/>
      <c r="AM15" s="202"/>
      <c r="AN15" s="202"/>
      <c r="AO15" s="16"/>
      <c r="AP15" s="202"/>
      <c r="AQ15" s="202"/>
      <c r="AR15" s="16"/>
    </row>
    <row r="16" spans="1:45">
      <c r="B16" s="35" t="s">
        <v>272</v>
      </c>
      <c r="F16" s="107"/>
      <c r="G16" s="107"/>
      <c r="L16" s="107"/>
      <c r="M16" s="107"/>
      <c r="R16" s="107"/>
      <c r="S16" s="107"/>
      <c r="X16" s="107"/>
      <c r="Y16" s="107"/>
      <c r="AD16" s="107"/>
      <c r="AE16" s="107"/>
      <c r="AJ16" s="107"/>
      <c r="AK16" s="107"/>
      <c r="AP16" s="107"/>
      <c r="AQ16" s="107"/>
    </row>
    <row r="17" spans="1:44">
      <c r="B17" s="35" t="s">
        <v>273</v>
      </c>
      <c r="C17" s="36"/>
      <c r="D17" s="107"/>
      <c r="F17" s="107"/>
      <c r="G17" s="107"/>
      <c r="I17" s="36"/>
      <c r="J17" s="107"/>
      <c r="L17" s="107"/>
      <c r="M17" s="107"/>
      <c r="O17" s="36"/>
      <c r="P17" s="107"/>
      <c r="R17" s="107"/>
      <c r="S17" s="107"/>
      <c r="U17" s="36"/>
      <c r="V17" s="107"/>
      <c r="X17" s="107"/>
      <c r="Y17" s="107"/>
      <c r="AA17" s="36"/>
      <c r="AB17" s="107"/>
      <c r="AD17" s="107"/>
      <c r="AE17" s="107"/>
      <c r="AG17" s="36"/>
      <c r="AH17" s="107"/>
      <c r="AJ17" s="107"/>
      <c r="AK17" s="107"/>
      <c r="AM17" s="36"/>
      <c r="AN17" s="107"/>
      <c r="AP17" s="107"/>
      <c r="AQ17" s="107"/>
    </row>
    <row r="18" spans="1:44">
      <c r="B18" s="35" t="s">
        <v>274</v>
      </c>
      <c r="C18" s="36"/>
      <c r="D18" s="107"/>
      <c r="F18" s="107"/>
      <c r="G18" s="107"/>
      <c r="I18" s="36"/>
      <c r="J18" s="107"/>
      <c r="L18" s="107"/>
      <c r="M18" s="107"/>
      <c r="O18" s="36"/>
      <c r="P18" s="107"/>
      <c r="R18" s="107"/>
      <c r="S18" s="107"/>
      <c r="U18" s="36"/>
      <c r="V18" s="107"/>
      <c r="X18" s="107"/>
      <c r="Y18" s="107"/>
      <c r="AA18" s="36"/>
      <c r="AB18" s="107"/>
      <c r="AD18" s="107"/>
      <c r="AE18" s="107"/>
      <c r="AG18" s="36"/>
      <c r="AH18" s="107"/>
      <c r="AJ18" s="107"/>
      <c r="AK18" s="107"/>
      <c r="AM18" s="36"/>
      <c r="AN18" s="107"/>
      <c r="AP18" s="107"/>
      <c r="AQ18" s="107"/>
    </row>
    <row r="19" spans="1:44">
      <c r="B19" s="35" t="s">
        <v>275</v>
      </c>
      <c r="C19" s="127">
        <f>D19/E19</f>
        <v>16.857378228388473</v>
      </c>
      <c r="D19" s="107">
        <f>+D8</f>
        <v>78976.816999999995</v>
      </c>
      <c r="E19" s="17">
        <f>+Depreciation!E5</f>
        <v>4685</v>
      </c>
      <c r="F19" s="127">
        <f>G19/H19</f>
        <v>19.964902179062054</v>
      </c>
      <c r="G19" s="107">
        <f>+G8</f>
        <v>84291.816999999995</v>
      </c>
      <c r="H19" s="17">
        <f>+Depreciation!F5</f>
        <v>4222</v>
      </c>
      <c r="I19" s="233" t="e">
        <f>J19/K19</f>
        <v>#DIV/0!</v>
      </c>
      <c r="J19" s="107"/>
      <c r="K19" s="17"/>
      <c r="L19" s="127"/>
      <c r="M19" s="107"/>
      <c r="N19" s="17"/>
      <c r="O19" s="127"/>
      <c r="P19" s="107"/>
      <c r="Q19" s="17"/>
      <c r="R19" s="127"/>
      <c r="S19" s="107"/>
      <c r="T19" s="17"/>
      <c r="U19" s="127"/>
      <c r="V19" s="107"/>
      <c r="W19" s="17"/>
      <c r="X19" s="127"/>
      <c r="Y19" s="107"/>
      <c r="Z19" s="17"/>
      <c r="AA19" s="127"/>
      <c r="AB19" s="107"/>
      <c r="AC19" s="17"/>
      <c r="AD19" s="127"/>
      <c r="AE19" s="107"/>
      <c r="AF19" s="17"/>
      <c r="AG19" s="127"/>
      <c r="AH19" s="107"/>
      <c r="AI19" s="17"/>
      <c r="AJ19" s="127"/>
      <c r="AK19" s="107"/>
      <c r="AL19" s="17"/>
      <c r="AM19" s="127"/>
      <c r="AN19" s="107"/>
      <c r="AO19" s="17"/>
      <c r="AP19" s="127"/>
      <c r="AQ19" s="107"/>
      <c r="AR19" s="17"/>
    </row>
    <row r="20" spans="1:44">
      <c r="B20" s="37" t="s">
        <v>276</v>
      </c>
      <c r="C20" s="127"/>
      <c r="D20" s="106"/>
      <c r="F20" s="127"/>
      <c r="G20" s="106"/>
      <c r="I20" s="127"/>
      <c r="J20" s="106"/>
      <c r="L20" s="127"/>
      <c r="M20" s="106"/>
      <c r="O20" s="127"/>
      <c r="P20" s="106"/>
      <c r="R20" s="127"/>
      <c r="S20" s="106"/>
      <c r="U20" s="127"/>
      <c r="V20" s="106"/>
      <c r="X20" s="127"/>
      <c r="Y20" s="106"/>
      <c r="AA20" s="127"/>
      <c r="AB20" s="106"/>
      <c r="AD20" s="127"/>
      <c r="AE20" s="106"/>
      <c r="AG20" s="127"/>
      <c r="AH20" s="106"/>
      <c r="AJ20" s="127"/>
      <c r="AK20" s="106"/>
      <c r="AM20" s="127"/>
      <c r="AN20" s="106"/>
      <c r="AP20" s="127"/>
      <c r="AQ20" s="106"/>
    </row>
    <row r="21" spans="1:44">
      <c r="B21" s="35" t="s">
        <v>277</v>
      </c>
      <c r="C21" s="128"/>
      <c r="D21" s="107"/>
      <c r="F21" s="127"/>
      <c r="G21" s="107"/>
      <c r="I21" s="128"/>
      <c r="J21" s="107"/>
      <c r="L21" s="127"/>
      <c r="M21" s="107"/>
      <c r="O21" s="128"/>
      <c r="P21" s="107"/>
      <c r="R21" s="127"/>
      <c r="S21" s="107"/>
      <c r="U21" s="128"/>
      <c r="V21" s="107"/>
      <c r="X21" s="127"/>
      <c r="Y21" s="107"/>
      <c r="AA21" s="128"/>
      <c r="AB21" s="107"/>
      <c r="AD21" s="127"/>
      <c r="AE21" s="107"/>
      <c r="AG21" s="128"/>
      <c r="AH21" s="107"/>
      <c r="AJ21" s="127"/>
      <c r="AK21" s="107"/>
      <c r="AM21" s="128"/>
      <c r="AN21" s="107"/>
      <c r="AP21" s="127"/>
      <c r="AQ21" s="107"/>
    </row>
    <row r="22" spans="1:44">
      <c r="B22" s="35" t="s">
        <v>278</v>
      </c>
      <c r="C22" s="128"/>
      <c r="D22" s="107"/>
      <c r="F22" s="127"/>
      <c r="G22" s="107"/>
      <c r="I22" s="128"/>
      <c r="J22" s="107"/>
      <c r="L22" s="127"/>
      <c r="M22" s="107"/>
      <c r="O22" s="128"/>
      <c r="P22" s="107"/>
      <c r="R22" s="127"/>
      <c r="S22" s="107"/>
      <c r="U22" s="128"/>
      <c r="V22" s="107"/>
      <c r="X22" s="127"/>
      <c r="Y22" s="107"/>
      <c r="AA22" s="128"/>
      <c r="AB22" s="107"/>
      <c r="AD22" s="127"/>
      <c r="AE22" s="107"/>
      <c r="AG22" s="128"/>
      <c r="AH22" s="107"/>
      <c r="AJ22" s="127"/>
      <c r="AK22" s="107"/>
      <c r="AM22" s="128"/>
      <c r="AN22" s="107"/>
      <c r="AP22" s="127"/>
      <c r="AQ22" s="107"/>
    </row>
    <row r="23" spans="1:44">
      <c r="B23" s="35" t="s">
        <v>279</v>
      </c>
      <c r="C23" s="127">
        <f>D23/E23</f>
        <v>11.520166692028109</v>
      </c>
      <c r="D23" s="106">
        <f>+D9</f>
        <v>484750</v>
      </c>
      <c r="E23" s="17">
        <f>+Depreciation!E9+Depreciation!E10+Depreciation!E11</f>
        <v>42078.384189999982</v>
      </c>
      <c r="F23" s="127">
        <f>G23/H23</f>
        <v>14.700426569442229</v>
      </c>
      <c r="G23" s="106">
        <f>+G9</f>
        <v>484750</v>
      </c>
      <c r="H23" s="17">
        <f>+Depreciation!F9+Depreciation!F10+Depreciation!F11</f>
        <v>32975.233590000011</v>
      </c>
      <c r="I23" s="127" t="e">
        <f>J23/K23</f>
        <v>#DIV/0!</v>
      </c>
      <c r="J23" s="106"/>
      <c r="K23" s="17"/>
      <c r="L23" s="127"/>
      <c r="M23" s="106"/>
      <c r="N23" s="17"/>
      <c r="O23" s="127"/>
      <c r="P23" s="106"/>
      <c r="Q23" s="17"/>
      <c r="R23" s="127"/>
      <c r="S23" s="106"/>
      <c r="T23" s="17"/>
      <c r="U23" s="127"/>
      <c r="V23" s="106"/>
      <c r="W23" s="17"/>
      <c r="X23" s="127"/>
      <c r="Y23" s="106"/>
      <c r="Z23" s="17"/>
      <c r="AA23" s="127"/>
      <c r="AB23" s="106"/>
      <c r="AC23" s="17"/>
      <c r="AD23" s="127"/>
      <c r="AE23" s="106"/>
      <c r="AF23" s="17"/>
      <c r="AG23" s="127"/>
      <c r="AH23" s="106"/>
      <c r="AI23" s="17"/>
      <c r="AJ23" s="127"/>
      <c r="AK23" s="106"/>
      <c r="AL23" s="17"/>
      <c r="AM23" s="127"/>
      <c r="AN23" s="106"/>
      <c r="AO23" s="17"/>
      <c r="AP23" s="127"/>
      <c r="AQ23" s="107"/>
    </row>
    <row r="24" spans="1:44">
      <c r="B24" s="35" t="s">
        <v>280</v>
      </c>
      <c r="AP24" s="127"/>
      <c r="AQ24" s="106"/>
      <c r="AR24" s="17"/>
    </row>
    <row r="26" spans="1:44">
      <c r="D26" s="10"/>
      <c r="E26" s="15"/>
      <c r="G26" s="10"/>
      <c r="H26" s="15"/>
      <c r="J26" s="10"/>
      <c r="K26" s="15"/>
      <c r="M26" s="10"/>
      <c r="N26" s="15"/>
      <c r="Q26" s="10"/>
      <c r="R26" s="15"/>
      <c r="T26" s="10"/>
      <c r="U26" s="15"/>
      <c r="W26" s="10"/>
      <c r="X26" s="15"/>
      <c r="Z26" s="10"/>
      <c r="AA26" s="15"/>
      <c r="AC26" s="10"/>
      <c r="AD26" s="15"/>
    </row>
    <row r="28" spans="1:44">
      <c r="V28" s="203"/>
      <c r="Y28" s="203"/>
      <c r="AB28" s="203"/>
    </row>
    <row r="30" spans="1:44" s="6" customFormat="1">
      <c r="A30" s="386" t="s">
        <v>498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44" s="6" customFormat="1">
      <c r="A31" s="386" t="s">
        <v>774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44" s="6" customFormat="1">
      <c r="A32" s="387" t="s">
        <v>697</v>
      </c>
      <c r="B32" s="105"/>
      <c r="C32" s="105"/>
      <c r="D32" s="388"/>
      <c r="E32" s="105"/>
      <c r="F32" s="105"/>
      <c r="G32" s="388"/>
      <c r="H32" s="105"/>
      <c r="I32" s="105"/>
      <c r="J32" s="388"/>
      <c r="K32" s="105"/>
      <c r="L32" s="105"/>
    </row>
    <row r="33" spans="1:12" s="6" customFormat="1">
      <c r="A33" s="98"/>
      <c r="B33" s="152"/>
      <c r="C33" s="389"/>
      <c r="D33" s="98"/>
      <c r="E33" s="152"/>
      <c r="F33" s="389"/>
      <c r="G33" s="98"/>
      <c r="H33" s="152"/>
      <c r="I33" s="389"/>
      <c r="J33" s="98"/>
      <c r="K33" s="152"/>
      <c r="L33" s="38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  <pageSetUpPr fitToPage="1"/>
  </sheetPr>
  <dimension ref="A2:AD55"/>
  <sheetViews>
    <sheetView zoomScale="75" zoomScaleNormal="75" workbookViewId="0">
      <selection sqref="A1:XFD1048576"/>
    </sheetView>
  </sheetViews>
  <sheetFormatPr defaultRowHeight="15"/>
  <cols>
    <col min="1" max="1" width="9.140625" style="176"/>
    <col min="2" max="2" width="43.5703125" style="176" customWidth="1"/>
    <col min="3" max="13" width="15.28515625" style="176" bestFit="1" customWidth="1"/>
    <col min="14" max="14" width="15.28515625" style="229" bestFit="1" customWidth="1"/>
    <col min="15" max="20" width="15.28515625" style="176" bestFit="1" customWidth="1"/>
    <col min="21" max="30" width="16" style="176" bestFit="1" customWidth="1"/>
    <col min="31" max="16384" width="9.140625" style="176"/>
  </cols>
  <sheetData>
    <row r="2" spans="1:30" ht="17.25">
      <c r="B2" s="175"/>
      <c r="D2" s="177"/>
      <c r="E2" s="177"/>
      <c r="F2" s="177"/>
      <c r="G2" s="185"/>
      <c r="H2" s="177"/>
      <c r="I2" s="177"/>
      <c r="J2" s="177"/>
      <c r="K2" s="177"/>
      <c r="L2" s="177"/>
      <c r="M2" s="177"/>
      <c r="N2" s="225"/>
      <c r="O2" s="177"/>
      <c r="P2" s="177"/>
      <c r="Q2" s="177"/>
      <c r="R2" s="177"/>
      <c r="S2" s="177"/>
      <c r="T2" s="177"/>
      <c r="U2" s="177"/>
    </row>
    <row r="3" spans="1:30">
      <c r="B3" s="175"/>
      <c r="E3" s="178" t="s">
        <v>159</v>
      </c>
      <c r="F3" s="188" t="s">
        <v>160</v>
      </c>
      <c r="G3" s="188" t="s">
        <v>161</v>
      </c>
      <c r="H3" s="188" t="s">
        <v>162</v>
      </c>
      <c r="I3" s="178" t="s">
        <v>163</v>
      </c>
      <c r="J3" s="188"/>
      <c r="K3" s="188"/>
      <c r="L3" s="188"/>
      <c r="M3" s="177"/>
      <c r="N3" s="225"/>
      <c r="O3" s="177"/>
      <c r="P3" s="177"/>
      <c r="Q3" s="177"/>
      <c r="R3" s="177"/>
      <c r="S3" s="177"/>
      <c r="T3" s="177"/>
      <c r="U3" s="177"/>
    </row>
    <row r="4" spans="1:30">
      <c r="B4" s="175"/>
      <c r="C4" s="178" t="s">
        <v>631</v>
      </c>
      <c r="D4" s="178" t="s">
        <v>631</v>
      </c>
      <c r="E4" s="178" t="s">
        <v>631</v>
      </c>
      <c r="F4" s="178" t="s">
        <v>631</v>
      </c>
      <c r="G4" s="177"/>
      <c r="H4" s="177"/>
      <c r="I4" s="177"/>
      <c r="J4" s="177"/>
      <c r="K4" s="177"/>
      <c r="L4" s="177"/>
      <c r="M4" s="177"/>
      <c r="N4" s="225"/>
      <c r="O4" s="177"/>
      <c r="P4" s="177"/>
      <c r="Q4" s="177"/>
      <c r="R4" s="177"/>
      <c r="S4" s="177"/>
      <c r="T4" s="177"/>
      <c r="U4" s="177"/>
    </row>
    <row r="5" spans="1:30" s="180" customFormat="1" ht="15.75">
      <c r="B5" s="179" t="s">
        <v>633</v>
      </c>
      <c r="C5" s="180">
        <v>2017</v>
      </c>
      <c r="D5" s="180">
        <v>2018</v>
      </c>
      <c r="E5" s="180">
        <v>2019</v>
      </c>
      <c r="F5" s="180">
        <v>2020</v>
      </c>
      <c r="G5" s="180">
        <v>2021</v>
      </c>
      <c r="H5" s="180">
        <v>2022</v>
      </c>
      <c r="I5" s="180">
        <v>2023</v>
      </c>
      <c r="N5" s="226"/>
    </row>
    <row r="6" spans="1:30" s="182" customFormat="1">
      <c r="A6" s="182">
        <v>1</v>
      </c>
      <c r="B6" s="181" t="s">
        <v>634</v>
      </c>
      <c r="G6" s="182">
        <f>+F11</f>
        <v>3806140</v>
      </c>
      <c r="H6" s="182">
        <f t="shared" ref="H6:I6" si="0">+G11</f>
        <v>3587526.71747</v>
      </c>
      <c r="I6" s="182">
        <f t="shared" si="0"/>
        <v>3425783.9792132401</v>
      </c>
      <c r="N6" s="227"/>
    </row>
    <row r="7" spans="1:30" s="182" customFormat="1">
      <c r="A7" s="182">
        <v>2</v>
      </c>
      <c r="B7" s="181" t="s">
        <v>630</v>
      </c>
      <c r="G7" s="182">
        <f>+'Fed Projections'!E14</f>
        <v>0</v>
      </c>
      <c r="H7" s="182">
        <f>+'Fed Projections'!F14</f>
        <v>333258.26174324</v>
      </c>
      <c r="I7" s="182">
        <f>+'Fed Projections'!G14</f>
        <v>339350.0564</v>
      </c>
      <c r="N7" s="227"/>
    </row>
    <row r="8" spans="1:30" s="182" customFormat="1">
      <c r="A8" s="182">
        <v>3</v>
      </c>
      <c r="B8" s="181" t="s">
        <v>646</v>
      </c>
      <c r="G8" s="182">
        <f>-'Federal Capital Costs'!C14</f>
        <v>-350100</v>
      </c>
      <c r="H8" s="182">
        <f>-'Federal Capital Costs'!D14</f>
        <v>-495001</v>
      </c>
      <c r="I8" s="182">
        <f>-'Federal Capital Costs'!E14</f>
        <v>-525000</v>
      </c>
      <c r="N8" s="227"/>
    </row>
    <row r="9" spans="1:30" s="182" customFormat="1" ht="17.25">
      <c r="A9" s="182">
        <v>4</v>
      </c>
      <c r="B9" s="181" t="s">
        <v>647</v>
      </c>
      <c r="C9" s="185"/>
      <c r="D9" s="185"/>
      <c r="E9" s="185"/>
      <c r="G9" s="182">
        <f>-'Federal Capital Costs'!C13</f>
        <v>-95000</v>
      </c>
      <c r="H9" s="182">
        <f>-'Federal Capital Costs'!D13</f>
        <v>0</v>
      </c>
      <c r="I9" s="182">
        <f>-'Federal Capital Costs'!E13</f>
        <v>0</v>
      </c>
    </row>
    <row r="10" spans="1:30" s="182" customFormat="1" ht="17.25">
      <c r="B10" s="181" t="s">
        <v>749</v>
      </c>
      <c r="C10" s="185">
        <v>301892.71385499992</v>
      </c>
      <c r="D10" s="185">
        <v>131661.38336000001</v>
      </c>
      <c r="E10" s="185">
        <v>0</v>
      </c>
      <c r="F10" s="185">
        <v>0</v>
      </c>
      <c r="G10" s="185">
        <v>226486.71747</v>
      </c>
      <c r="H10" s="231">
        <v>0</v>
      </c>
      <c r="I10" s="231">
        <v>0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</row>
    <row r="11" spans="1:30" s="182" customFormat="1">
      <c r="A11" s="182">
        <v>5</v>
      </c>
      <c r="B11" s="181" t="s">
        <v>650</v>
      </c>
      <c r="C11" s="182">
        <f>3962241+C10</f>
        <v>4264133.7138550002</v>
      </c>
      <c r="D11" s="182">
        <f>4026824+D10</f>
        <v>4158485.3833599999</v>
      </c>
      <c r="E11" s="182">
        <f>3684447</f>
        <v>3684447</v>
      </c>
      <c r="F11" s="182">
        <v>3806140</v>
      </c>
      <c r="G11" s="182">
        <f>SUM(G6:G10)</f>
        <v>3587526.71747</v>
      </c>
      <c r="H11" s="182">
        <f t="shared" ref="H11:I11" si="1">SUM(H6:H9)</f>
        <v>3425783.9792132401</v>
      </c>
      <c r="I11" s="182">
        <f t="shared" si="1"/>
        <v>3240134.0356132402</v>
      </c>
      <c r="N11" s="227"/>
    </row>
    <row r="12" spans="1:30" s="182" customFormat="1">
      <c r="A12" s="182">
        <v>6</v>
      </c>
      <c r="B12" s="181"/>
      <c r="N12" s="227"/>
    </row>
    <row r="13" spans="1:30" s="182" customFormat="1">
      <c r="A13" s="182">
        <v>7</v>
      </c>
      <c r="B13" s="181" t="s">
        <v>645</v>
      </c>
      <c r="G13" s="182">
        <f t="shared" ref="G13:I13" si="2">+F20</f>
        <v>5032285</v>
      </c>
      <c r="H13" s="182">
        <f t="shared" si="2"/>
        <v>5094945.5375136919</v>
      </c>
      <c r="I13" s="182">
        <f t="shared" si="2"/>
        <v>5179669.6145334728</v>
      </c>
      <c r="N13" s="227"/>
    </row>
    <row r="14" spans="1:30" s="182" customFormat="1">
      <c r="A14" s="182">
        <v>8</v>
      </c>
      <c r="B14" s="181" t="s">
        <v>658</v>
      </c>
      <c r="G14" s="182">
        <f>+'Non-Federal DS'!E102</f>
        <v>194588</v>
      </c>
      <c r="H14" s="182">
        <f>+'Non-Federal DS'!F102</f>
        <v>188240.10344917193</v>
      </c>
      <c r="I14" s="182">
        <f>+'Non-Federal DS'!G102</f>
        <v>208778.59917924803</v>
      </c>
    </row>
    <row r="15" spans="1:30" s="182" customFormat="1">
      <c r="A15" s="182">
        <v>9</v>
      </c>
      <c r="B15" s="181" t="s">
        <v>640</v>
      </c>
      <c r="G15" s="182">
        <f>-'Non-Federal DS'!E74-'Non-Federal DS'!E75-'Non-Federal DS'!E78</f>
        <v>-104825</v>
      </c>
      <c r="H15" s="182">
        <f>-'Non-Federal DS'!F74-'Non-Federal DS'!F75-'Non-Federal DS'!F78</f>
        <v>-75145</v>
      </c>
      <c r="I15" s="182">
        <f>-'Non-Federal DS'!G74-'Non-Federal DS'!G75-'Non-Federal DS'!G78</f>
        <v>-13020</v>
      </c>
      <c r="N15" s="227"/>
    </row>
    <row r="16" spans="1:30" s="182" customFormat="1">
      <c r="A16" s="182">
        <v>10</v>
      </c>
      <c r="B16" s="181" t="s">
        <v>641</v>
      </c>
      <c r="G16" s="182">
        <f>-'Non-Federal DS'!E81</f>
        <v>0</v>
      </c>
      <c r="H16" s="182">
        <f>-'Non-Federal DS'!F81</f>
        <v>0</v>
      </c>
      <c r="I16" s="182">
        <f>-'Non-Federal DS'!G81</f>
        <v>0</v>
      </c>
      <c r="N16" s="227"/>
    </row>
    <row r="17" spans="1:30" s="182" customFormat="1">
      <c r="A17" s="182">
        <v>11</v>
      </c>
      <c r="B17" s="181" t="s">
        <v>643</v>
      </c>
      <c r="G17" s="182">
        <f>-'Non-Federal DS'!E79</f>
        <v>-1535</v>
      </c>
      <c r="H17" s="182">
        <f>-'Non-Federal DS'!F79</f>
        <v>-1605</v>
      </c>
      <c r="I17" s="182">
        <f>-'Non-Federal DS'!G79</f>
        <v>-1685</v>
      </c>
      <c r="N17" s="227"/>
    </row>
    <row r="18" spans="1:30" s="182" customFormat="1">
      <c r="A18" s="182">
        <v>12</v>
      </c>
      <c r="B18" s="181" t="s">
        <v>644</v>
      </c>
      <c r="G18" s="182">
        <f>-'Non-Federal DS'!E80</f>
        <v>-3830</v>
      </c>
      <c r="H18" s="182">
        <f>-'Non-Federal DS'!F80</f>
        <v>-4020</v>
      </c>
      <c r="I18" s="182">
        <f>-'Non-Federal DS'!G80</f>
        <v>-4220</v>
      </c>
      <c r="N18" s="227"/>
    </row>
    <row r="19" spans="1:30" s="182" customFormat="1" ht="17.25">
      <c r="A19" s="182">
        <v>13</v>
      </c>
      <c r="B19" s="181" t="s">
        <v>655</v>
      </c>
      <c r="C19" s="185"/>
      <c r="D19" s="185"/>
      <c r="E19" s="185"/>
      <c r="F19" s="185"/>
      <c r="G19" s="185">
        <f>-'Federal Capital Costs'!C16+'Federal Capital Costs'!C6</f>
        <v>-21737.462486308421</v>
      </c>
      <c r="H19" s="185">
        <f>-'Federal Capital Costs'!D16+'Federal Capital Costs'!D6</f>
        <v>-22746.026429391721</v>
      </c>
      <c r="I19" s="185">
        <f>-'Federal Capital Costs'!E16+'Federal Capital Costs'!E6</f>
        <v>-23801.39337690005</v>
      </c>
      <c r="J19" s="185"/>
      <c r="K19" s="185"/>
      <c r="L19" s="185"/>
      <c r="M19" s="185"/>
      <c r="N19" s="228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</row>
    <row r="20" spans="1:30" s="182" customFormat="1">
      <c r="A20" s="182">
        <v>14</v>
      </c>
      <c r="B20" s="181" t="s">
        <v>651</v>
      </c>
      <c r="C20" s="182">
        <v>5765584</v>
      </c>
      <c r="D20" s="182">
        <v>5426014</v>
      </c>
      <c r="E20" s="182">
        <v>5296462</v>
      </c>
      <c r="F20" s="182">
        <v>5032285</v>
      </c>
      <c r="G20" s="182">
        <f t="shared" ref="G20:I20" si="3">SUM(G13:G19)</f>
        <v>5094945.5375136919</v>
      </c>
      <c r="H20" s="182">
        <f t="shared" si="3"/>
        <v>5179669.6145334728</v>
      </c>
      <c r="I20" s="182">
        <f t="shared" si="3"/>
        <v>5345721.8203358212</v>
      </c>
      <c r="N20" s="227"/>
    </row>
    <row r="21" spans="1:30" s="182" customFormat="1">
      <c r="A21" s="182">
        <v>15</v>
      </c>
      <c r="B21" s="181"/>
      <c r="N21" s="227"/>
    </row>
    <row r="22" spans="1:30" s="182" customFormat="1" ht="15.75">
      <c r="A22" s="182">
        <v>16</v>
      </c>
      <c r="B22" s="310" t="s">
        <v>679</v>
      </c>
      <c r="C22" s="182">
        <f>+C20+C11</f>
        <v>10029717.713855</v>
      </c>
      <c r="D22" s="182">
        <f>+D20+D11</f>
        <v>9584499.3833600003</v>
      </c>
      <c r="E22" s="182">
        <f t="shared" ref="E22:I22" si="4">+E20+E11</f>
        <v>8980909</v>
      </c>
      <c r="F22" s="182">
        <f t="shared" si="4"/>
        <v>8838425</v>
      </c>
      <c r="G22" s="182">
        <f t="shared" si="4"/>
        <v>8682472.2549836915</v>
      </c>
      <c r="H22" s="182">
        <f t="shared" si="4"/>
        <v>8605453.5937467124</v>
      </c>
      <c r="I22" s="182">
        <f t="shared" si="4"/>
        <v>8585855.855949061</v>
      </c>
      <c r="N22" s="227"/>
    </row>
    <row r="23" spans="1:30">
      <c r="A23" s="182">
        <v>17</v>
      </c>
      <c r="C23" s="182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225"/>
      <c r="O23" s="177"/>
      <c r="P23" s="177"/>
      <c r="Q23" s="177"/>
      <c r="R23" s="177"/>
      <c r="S23" s="177"/>
      <c r="T23" s="177"/>
      <c r="U23" s="177"/>
    </row>
    <row r="24" spans="1:30" ht="15.75">
      <c r="A24" s="182">
        <v>18</v>
      </c>
      <c r="B24" s="311" t="s">
        <v>632</v>
      </c>
      <c r="C24" s="182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225"/>
      <c r="O24" s="177"/>
      <c r="P24" s="177"/>
      <c r="Q24" s="177"/>
      <c r="R24" s="177"/>
      <c r="S24" s="177"/>
      <c r="T24" s="177"/>
      <c r="U24" s="177"/>
    </row>
    <row r="25" spans="1:30" s="182" customFormat="1">
      <c r="A25" s="182">
        <v>19</v>
      </c>
      <c r="B25" s="183" t="s">
        <v>674</v>
      </c>
      <c r="G25" s="182">
        <f t="shared" ref="G25:I25" si="5">+F28</f>
        <v>9888804</v>
      </c>
      <c r="H25" s="182">
        <f t="shared" si="5"/>
        <v>9867867.189565666</v>
      </c>
      <c r="I25" s="182">
        <f t="shared" si="5"/>
        <v>10137188.640874572</v>
      </c>
      <c r="N25" s="227"/>
    </row>
    <row r="26" spans="1:30" s="182" customFormat="1">
      <c r="A26" s="182">
        <v>20</v>
      </c>
      <c r="B26" s="183" t="s">
        <v>627</v>
      </c>
      <c r="G26" s="182">
        <f>+'Fed Projections'!E11</f>
        <v>0</v>
      </c>
      <c r="H26" s="182">
        <f>+'Fed Projections'!F11</f>
        <v>290258.26174324</v>
      </c>
      <c r="I26" s="182">
        <f>+'Fed Projections'!G11</f>
        <v>296350.0564</v>
      </c>
      <c r="N26" s="227"/>
    </row>
    <row r="27" spans="1:30" s="182" customFormat="1" ht="17.25">
      <c r="A27" s="182">
        <v>21</v>
      </c>
      <c r="B27" s="183" t="s">
        <v>744</v>
      </c>
      <c r="C27" s="185"/>
      <c r="D27" s="185"/>
      <c r="E27" s="185"/>
      <c r="F27" s="185"/>
      <c r="G27" s="185">
        <f>+'[6]summary of adjustments'!$D$15</f>
        <v>-20936.810434333333</v>
      </c>
      <c r="H27" s="185">
        <f t="shared" ref="H27:I27" si="6">+G27</f>
        <v>-20936.810434333333</v>
      </c>
      <c r="I27" s="185">
        <f t="shared" si="6"/>
        <v>-20936.810434333333</v>
      </c>
      <c r="J27" s="185"/>
      <c r="K27" s="185"/>
      <c r="L27" s="185"/>
      <c r="M27" s="185"/>
      <c r="N27" s="228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0" s="182" customFormat="1">
      <c r="A28" s="182">
        <v>22</v>
      </c>
      <c r="B28" s="183" t="s">
        <v>675</v>
      </c>
      <c r="C28" s="182">
        <v>9203174</v>
      </c>
      <c r="D28" s="182">
        <v>9351271</v>
      </c>
      <c r="E28" s="182">
        <v>9614752</v>
      </c>
      <c r="F28" s="182">
        <v>9888804</v>
      </c>
      <c r="G28" s="182">
        <f t="shared" ref="G28:I28" si="7">SUM(G25:G27)</f>
        <v>9867867.189565666</v>
      </c>
      <c r="H28" s="182">
        <f t="shared" si="7"/>
        <v>10137188.640874572</v>
      </c>
      <c r="I28" s="182">
        <f t="shared" si="7"/>
        <v>10412601.886840237</v>
      </c>
    </row>
    <row r="29" spans="1:30" s="182" customFormat="1">
      <c r="A29" s="182">
        <v>23</v>
      </c>
      <c r="B29" s="183"/>
      <c r="N29" s="227"/>
    </row>
    <row r="30" spans="1:30" s="182" customFormat="1">
      <c r="A30" s="182">
        <v>24</v>
      </c>
      <c r="B30" s="183" t="s">
        <v>653</v>
      </c>
      <c r="G30" s="182">
        <f t="shared" ref="G30:I30" si="8">+F33</f>
        <v>-3778351</v>
      </c>
      <c r="H30" s="182">
        <f t="shared" si="8"/>
        <v>-3896430.8415656667</v>
      </c>
      <c r="I30" s="182">
        <f t="shared" si="8"/>
        <v>-4016289.6831313334</v>
      </c>
      <c r="N30" s="227"/>
    </row>
    <row r="31" spans="1:30" s="182" customFormat="1">
      <c r="A31" s="182">
        <v>25</v>
      </c>
      <c r="B31" s="183" t="s">
        <v>629</v>
      </c>
      <c r="G31" s="182">
        <f>-Depreciation!D8</f>
        <v>-139169.65333333332</v>
      </c>
      <c r="H31" s="182">
        <f>-Depreciation!E8</f>
        <v>-140948.65333333332</v>
      </c>
      <c r="I31" s="182">
        <f>-Depreciation!F8</f>
        <v>-144154.65333333332</v>
      </c>
      <c r="N31" s="227"/>
    </row>
    <row r="32" spans="1:30" s="182" customFormat="1" ht="17.25">
      <c r="A32" s="182">
        <v>26</v>
      </c>
      <c r="B32" s="183" t="s">
        <v>559</v>
      </c>
      <c r="C32" s="185"/>
      <c r="D32" s="185"/>
      <c r="E32" s="185"/>
      <c r="F32" s="185"/>
      <c r="G32" s="185">
        <f>-'[6]summary of adjustments'!$D$20</f>
        <v>21089.811767666666</v>
      </c>
      <c r="H32" s="185">
        <f t="shared" ref="H32:I32" si="9">+G32</f>
        <v>21089.811767666666</v>
      </c>
      <c r="I32" s="185">
        <f t="shared" si="9"/>
        <v>21089.811767666666</v>
      </c>
      <c r="J32" s="185"/>
      <c r="K32" s="185"/>
      <c r="L32" s="185"/>
      <c r="M32" s="185"/>
      <c r="N32" s="228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s="182" customFormat="1">
      <c r="A33" s="182">
        <v>27</v>
      </c>
      <c r="B33" s="183" t="s">
        <v>652</v>
      </c>
      <c r="C33" s="182">
        <v>-3409169</v>
      </c>
      <c r="D33" s="182">
        <v>-3518882</v>
      </c>
      <c r="E33" s="182">
        <v>-3646175</v>
      </c>
      <c r="F33" s="182">
        <v>-3778351</v>
      </c>
      <c r="G33" s="182">
        <f t="shared" ref="G33:I33" si="10">SUM(G30:G32)</f>
        <v>-3896430.8415656667</v>
      </c>
      <c r="H33" s="182">
        <f t="shared" si="10"/>
        <v>-4016289.6831313334</v>
      </c>
      <c r="I33" s="182">
        <f t="shared" si="10"/>
        <v>-4139354.5246970002</v>
      </c>
    </row>
    <row r="34" spans="1:30" s="182" customFormat="1">
      <c r="A34" s="182">
        <v>28</v>
      </c>
      <c r="B34" s="183"/>
      <c r="N34" s="227"/>
    </row>
    <row r="35" spans="1:30" s="182" customFormat="1">
      <c r="A35" s="182">
        <v>29</v>
      </c>
      <c r="B35" s="183" t="s">
        <v>676</v>
      </c>
      <c r="G35" s="182">
        <f t="shared" ref="G35:I35" si="11">+F37</f>
        <v>3543296</v>
      </c>
      <c r="H35" s="182">
        <f t="shared" si="11"/>
        <v>3652889</v>
      </c>
      <c r="I35" s="182">
        <f t="shared" si="11"/>
        <v>3747222.6173578668</v>
      </c>
      <c r="N35" s="227"/>
    </row>
    <row r="36" spans="1:30" s="182" customFormat="1" ht="17.25">
      <c r="A36" s="182">
        <v>30</v>
      </c>
      <c r="B36" s="183" t="s">
        <v>628</v>
      </c>
      <c r="C36" s="185"/>
      <c r="D36" s="185"/>
      <c r="E36" s="185"/>
      <c r="F36" s="185"/>
      <c r="G36" s="185">
        <f>+'Non-Federal DS'!E88</f>
        <v>109593</v>
      </c>
      <c r="H36" s="185">
        <f>+'Non-Federal DS'!F88</f>
        <v>94333.617357866795</v>
      </c>
      <c r="I36" s="185">
        <f>+'Non-Federal DS'!G88</f>
        <v>118848.84643613591</v>
      </c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s="182" customFormat="1">
      <c r="A37" s="182">
        <v>31</v>
      </c>
      <c r="B37" s="183" t="s">
        <v>677</v>
      </c>
      <c r="C37" s="182">
        <v>3518733</v>
      </c>
      <c r="D37" s="182">
        <v>3350904</v>
      </c>
      <c r="E37" s="182">
        <f>3774287</f>
        <v>3774287</v>
      </c>
      <c r="F37" s="182">
        <v>3543296</v>
      </c>
      <c r="G37" s="182">
        <f t="shared" ref="G37:I37" si="12">SUM(G35:G36)</f>
        <v>3652889</v>
      </c>
      <c r="H37" s="182">
        <f t="shared" si="12"/>
        <v>3747222.6173578668</v>
      </c>
      <c r="I37" s="182">
        <f t="shared" si="12"/>
        <v>3866071.4637940028</v>
      </c>
      <c r="N37" s="227"/>
    </row>
    <row r="38" spans="1:30" s="182" customFormat="1">
      <c r="A38" s="182">
        <v>32</v>
      </c>
      <c r="B38" s="183"/>
      <c r="N38" s="227"/>
    </row>
    <row r="39" spans="1:30" s="182" customFormat="1">
      <c r="A39" s="182">
        <v>33</v>
      </c>
      <c r="B39" s="183" t="s">
        <v>659</v>
      </c>
      <c r="E39" s="182">
        <f t="shared" ref="E39:F39" si="13">+D39+D40</f>
        <v>0</v>
      </c>
      <c r="F39" s="182">
        <f t="shared" si="13"/>
        <v>0</v>
      </c>
      <c r="G39" s="182">
        <f>+F39+F40</f>
        <v>0</v>
      </c>
      <c r="H39" s="182">
        <f t="shared" ref="H39:I39" si="14">+G39+G40</f>
        <v>-153112.06309605573</v>
      </c>
      <c r="I39" s="182">
        <f t="shared" si="14"/>
        <v>-306224.12619211146</v>
      </c>
      <c r="N39" s="227"/>
    </row>
    <row r="40" spans="1:30" s="182" customFormat="1" ht="17.25">
      <c r="A40" s="182">
        <v>34</v>
      </c>
      <c r="B40" s="183" t="s">
        <v>648</v>
      </c>
      <c r="C40" s="185"/>
      <c r="D40" s="185"/>
      <c r="E40" s="185"/>
      <c r="F40" s="185">
        <v>0</v>
      </c>
      <c r="G40" s="185">
        <f>-Depreciation!D23-Depreciation!D26-Depreciation!D28</f>
        <v>-153112.06309605573</v>
      </c>
      <c r="H40" s="185">
        <f>-Depreciation!E23-Depreciation!E26-Depreciation!E28</f>
        <v>-153112.06309605573</v>
      </c>
      <c r="I40" s="185">
        <f>-Depreciation!F23-Depreciation!F26-Depreciation!F28</f>
        <v>-157998.39494765675</v>
      </c>
      <c r="J40" s="185"/>
      <c r="K40" s="185"/>
      <c r="L40" s="185"/>
      <c r="M40" s="185"/>
      <c r="N40" s="228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s="182" customFormat="1">
      <c r="A41" s="182">
        <v>35</v>
      </c>
      <c r="B41" s="183" t="s">
        <v>654</v>
      </c>
      <c r="C41" s="182">
        <v>0</v>
      </c>
      <c r="E41" s="182">
        <f t="shared" ref="E41:I41" si="15">SUM(E39:E40)</f>
        <v>0</v>
      </c>
      <c r="F41" s="182">
        <f t="shared" si="15"/>
        <v>0</v>
      </c>
      <c r="G41" s="182">
        <f t="shared" si="15"/>
        <v>-153112.06309605573</v>
      </c>
      <c r="H41" s="182">
        <f t="shared" si="15"/>
        <v>-306224.12619211146</v>
      </c>
      <c r="I41" s="182">
        <f t="shared" si="15"/>
        <v>-464222.52113976819</v>
      </c>
      <c r="N41" s="227"/>
    </row>
    <row r="42" spans="1:30" s="182" customFormat="1">
      <c r="A42" s="182">
        <v>36</v>
      </c>
      <c r="B42" s="183"/>
      <c r="N42" s="227"/>
    </row>
    <row r="43" spans="1:30" s="182" customFormat="1" ht="17.25">
      <c r="A43" s="182">
        <v>37</v>
      </c>
      <c r="B43" s="183" t="s">
        <v>665</v>
      </c>
      <c r="C43" s="185"/>
      <c r="D43" s="185"/>
      <c r="E43" s="185"/>
      <c r="F43" s="185">
        <v>0</v>
      </c>
      <c r="G43" s="185">
        <v>-81000</v>
      </c>
      <c r="H43" s="185">
        <v>-49500</v>
      </c>
      <c r="I43" s="185">
        <f>+'Non-Federal DS'!M41</f>
        <v>0</v>
      </c>
      <c r="J43" s="185"/>
      <c r="K43" s="185"/>
      <c r="L43" s="185"/>
      <c r="M43" s="185"/>
      <c r="N43" s="228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s="182" customFormat="1">
      <c r="A44" s="182">
        <v>38</v>
      </c>
      <c r="B44" s="183" t="s">
        <v>662</v>
      </c>
      <c r="D44" s="182">
        <f>+D43</f>
        <v>0</v>
      </c>
      <c r="E44" s="182">
        <f>+D44+E43</f>
        <v>0</v>
      </c>
      <c r="F44" s="182">
        <f>+E44+F43</f>
        <v>0</v>
      </c>
      <c r="G44" s="182">
        <f t="shared" ref="G44:I44" si="16">+F44+G43</f>
        <v>-81000</v>
      </c>
      <c r="H44" s="182">
        <f t="shared" si="16"/>
        <v>-130500</v>
      </c>
      <c r="I44" s="182">
        <f t="shared" si="16"/>
        <v>-130500</v>
      </c>
      <c r="N44" s="227"/>
    </row>
    <row r="45" spans="1:30" s="182" customFormat="1">
      <c r="A45" s="182">
        <v>39</v>
      </c>
      <c r="B45" s="183"/>
      <c r="N45" s="227"/>
    </row>
    <row r="46" spans="1:30" s="182" customFormat="1">
      <c r="A46" s="182">
        <v>40</v>
      </c>
      <c r="B46" s="183"/>
      <c r="D46" s="184"/>
      <c r="E46" s="184"/>
      <c r="N46" s="227"/>
    </row>
    <row r="47" spans="1:30" s="182" customFormat="1" ht="17.25">
      <c r="A47" s="182">
        <v>41</v>
      </c>
      <c r="B47" s="183" t="s">
        <v>610</v>
      </c>
      <c r="C47" s="185">
        <v>583425</v>
      </c>
      <c r="D47" s="185">
        <v>683567</v>
      </c>
      <c r="E47" s="185">
        <v>628447</v>
      </c>
      <c r="F47" s="185">
        <v>527214</v>
      </c>
      <c r="G47" s="185">
        <f t="shared" ref="G47:I47" si="17">+F47</f>
        <v>527214</v>
      </c>
      <c r="H47" s="185">
        <f t="shared" si="17"/>
        <v>527214</v>
      </c>
      <c r="I47" s="185">
        <f t="shared" si="17"/>
        <v>527214</v>
      </c>
      <c r="J47" s="185"/>
      <c r="K47" s="185"/>
      <c r="L47" s="185"/>
      <c r="M47" s="185"/>
      <c r="N47" s="228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s="182" customFormat="1" ht="15.75">
      <c r="A48" s="182">
        <v>42</v>
      </c>
      <c r="B48" s="187" t="s">
        <v>642</v>
      </c>
      <c r="C48" s="182">
        <f>+C47+C37+C33+C28</f>
        <v>9896163</v>
      </c>
      <c r="D48" s="182">
        <f>+D47+D37+D33+D28+D41+D44</f>
        <v>9866860</v>
      </c>
      <c r="E48" s="182">
        <f>+E47+E37+E33+E28+E41+E44</f>
        <v>10371311</v>
      </c>
      <c r="F48" s="182">
        <f t="shared" ref="F48:H48" si="18">+F47+F37+F33+F28+F41+F44</f>
        <v>10180963</v>
      </c>
      <c r="G48" s="182">
        <f t="shared" si="18"/>
        <v>9917427.2849039435</v>
      </c>
      <c r="H48" s="182">
        <f t="shared" si="18"/>
        <v>9958611.448908994</v>
      </c>
      <c r="I48" s="182">
        <f t="shared" ref="I48" si="19">+I47+I37+I33+I28+I41+I44</f>
        <v>10071810.304797471</v>
      </c>
      <c r="N48" s="227"/>
    </row>
    <row r="49" spans="1:30">
      <c r="A49" s="182">
        <v>43</v>
      </c>
    </row>
    <row r="50" spans="1:30" ht="15.75">
      <c r="A50" s="182">
        <v>44</v>
      </c>
      <c r="B50" s="311" t="s">
        <v>678</v>
      </c>
      <c r="C50" s="312">
        <f t="shared" ref="C50:I50" si="20">+C22/C48</f>
        <v>1.0134956057064743</v>
      </c>
      <c r="D50" s="312">
        <f t="shared" si="20"/>
        <v>0.97138293067500703</v>
      </c>
      <c r="E50" s="313">
        <f t="shared" si="20"/>
        <v>0.86593768135966609</v>
      </c>
      <c r="F50" s="312">
        <f t="shared" si="20"/>
        <v>0.86813251359424448</v>
      </c>
      <c r="G50" s="313">
        <f t="shared" si="20"/>
        <v>0.87547627076630352</v>
      </c>
      <c r="H50" s="312">
        <f t="shared" si="20"/>
        <v>0.86412183444404533</v>
      </c>
      <c r="I50" s="313">
        <f t="shared" si="20"/>
        <v>0.8524640155165939</v>
      </c>
      <c r="J50" s="312"/>
      <c r="K50" s="313"/>
      <c r="L50" s="312"/>
      <c r="M50" s="312"/>
      <c r="N50" s="230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</row>
    <row r="51" spans="1:30">
      <c r="C51" s="176">
        <v>2017</v>
      </c>
      <c r="D51" s="176">
        <v>2018</v>
      </c>
      <c r="E51" s="176">
        <v>2019</v>
      </c>
      <c r="F51" s="176">
        <v>2020</v>
      </c>
      <c r="G51" s="176">
        <v>2021</v>
      </c>
      <c r="H51" s="176">
        <v>2022</v>
      </c>
      <c r="I51" s="176">
        <v>2023</v>
      </c>
    </row>
    <row r="53" spans="1:30">
      <c r="A53" s="314" t="s">
        <v>488</v>
      </c>
      <c r="B53" s="176" t="s">
        <v>661</v>
      </c>
    </row>
    <row r="54" spans="1:30">
      <c r="A54" s="314" t="s">
        <v>656</v>
      </c>
      <c r="B54" s="176" t="s">
        <v>657</v>
      </c>
    </row>
    <row r="55" spans="1:30">
      <c r="A55" s="314" t="s">
        <v>660</v>
      </c>
      <c r="B55" s="315" t="s">
        <v>649</v>
      </c>
    </row>
  </sheetData>
  <pageMargins left="0.7" right="0.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5" tint="0.59999389629810485"/>
  </sheetPr>
  <dimension ref="A1:Z39"/>
  <sheetViews>
    <sheetView workbookViewId="0">
      <selection activeCell="G4" sqref="G4:AB32"/>
    </sheetView>
  </sheetViews>
  <sheetFormatPr defaultRowHeight="12.75"/>
  <cols>
    <col min="1" max="1" width="4.7109375" customWidth="1"/>
    <col min="2" max="2" width="41.5703125" bestFit="1" customWidth="1"/>
    <col min="3" max="3" width="9.42578125" hidden="1" customWidth="1"/>
    <col min="4" max="4" width="12.85546875" hidden="1" customWidth="1"/>
    <col min="5" max="5" width="18.140625" bestFit="1" customWidth="1"/>
    <col min="6" max="13" width="11.28515625" bestFit="1" customWidth="1"/>
    <col min="14" max="14" width="14.5703125" bestFit="1" customWidth="1"/>
    <col min="15" max="15" width="17.7109375" bestFit="1" customWidth="1"/>
    <col min="16" max="16" width="22" bestFit="1" customWidth="1"/>
    <col min="17" max="17" width="24" bestFit="1" customWidth="1"/>
    <col min="18" max="18" width="28.28515625" bestFit="1" customWidth="1"/>
    <col min="19" max="19" width="29.85546875" bestFit="1" customWidth="1"/>
    <col min="20" max="20" width="34.140625" bestFit="1" customWidth="1"/>
    <col min="21" max="21" width="37.140625" bestFit="1" customWidth="1"/>
    <col min="22" max="22" width="40.42578125" bestFit="1" customWidth="1"/>
    <col min="23" max="23" width="43.5703125" bestFit="1" customWidth="1"/>
    <col min="24" max="24" width="46.85546875" bestFit="1" customWidth="1"/>
    <col min="25" max="25" width="49.85546875" bestFit="1" customWidth="1"/>
    <col min="26" max="26" width="54.140625" bestFit="1" customWidth="1"/>
    <col min="27" max="34" width="10.28515625" bestFit="1" customWidth="1"/>
  </cols>
  <sheetData>
    <row r="1" spans="1:26">
      <c r="B1" s="80" t="s">
        <v>586</v>
      </c>
      <c r="C1" s="80"/>
      <c r="D1" s="80"/>
    </row>
    <row r="2" spans="1:26">
      <c r="B2" s="73" t="s">
        <v>499</v>
      </c>
      <c r="C2" s="73"/>
      <c r="D2" s="73"/>
    </row>
    <row r="4" spans="1:26" s="16" customFormat="1">
      <c r="C4" s="16">
        <f>+D4-1</f>
        <v>2020</v>
      </c>
      <c r="D4" s="16">
        <f>+E4-1</f>
        <v>2021</v>
      </c>
      <c r="E4" s="16">
        <f>+'Income Statement Cash Flows'!E6</f>
        <v>2022</v>
      </c>
      <c r="F4" s="16">
        <f>+'Income Statement Cash Flows'!F6</f>
        <v>2023</v>
      </c>
    </row>
    <row r="5" spans="1:26">
      <c r="A5">
        <v>1</v>
      </c>
      <c r="B5" t="s">
        <v>587</v>
      </c>
      <c r="C5" s="32">
        <f>+[3]Summaries!I$5</f>
        <v>0</v>
      </c>
      <c r="D5" s="32">
        <f>+[3]Summaries!J$5</f>
        <v>6609</v>
      </c>
      <c r="E5" s="32">
        <f>+[3]Summaries!K$5</f>
        <v>4685</v>
      </c>
      <c r="F5" s="32">
        <f>+[3]Summaries!L$5</f>
        <v>4222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5" customFormat="1">
      <c r="A6" s="5">
        <v>2</v>
      </c>
      <c r="B6" s="5" t="s">
        <v>588</v>
      </c>
      <c r="C6" s="5">
        <f>+[3]Summaries!I$6</f>
        <v>0</v>
      </c>
      <c r="D6" s="5">
        <f>+[3]Summaries!J$6</f>
        <v>103708</v>
      </c>
      <c r="E6" s="5">
        <f>+[3]Summaries!K$6</f>
        <v>106932</v>
      </c>
      <c r="F6" s="5">
        <f>+[3]Summaries!L$6</f>
        <v>109967</v>
      </c>
    </row>
    <row r="7" spans="1:26" s="5" customFormat="1">
      <c r="A7" s="5">
        <v>3</v>
      </c>
      <c r="B7" s="5" t="s">
        <v>589</v>
      </c>
      <c r="C7" s="5">
        <f>+[3]Summaries!I$7</f>
        <v>0</v>
      </c>
      <c r="D7" s="5">
        <f>+[3]Summaries!J$7</f>
        <v>28852.653333333335</v>
      </c>
      <c r="E7" s="5">
        <f>+[3]Summaries!K$7</f>
        <v>29331.653333333335</v>
      </c>
      <c r="F7" s="5">
        <f>+[3]Summaries!L$7</f>
        <v>29965.653333333335</v>
      </c>
    </row>
    <row r="8" spans="1:26" s="5" customFormat="1">
      <c r="A8" s="5">
        <v>4</v>
      </c>
      <c r="B8" s="83" t="s">
        <v>590</v>
      </c>
      <c r="C8" s="5">
        <f>SUM(C5:C7)</f>
        <v>0</v>
      </c>
      <c r="D8" s="5">
        <f t="shared" ref="D8:F8" si="0">SUM(D5:D7)</f>
        <v>139169.65333333332</v>
      </c>
      <c r="E8" s="5">
        <f t="shared" si="0"/>
        <v>140948.65333333332</v>
      </c>
      <c r="F8" s="5">
        <f t="shared" si="0"/>
        <v>144154.65333333332</v>
      </c>
    </row>
    <row r="9" spans="1:26" s="5" customFormat="1">
      <c r="A9" s="5">
        <v>5</v>
      </c>
      <c r="B9" s="5" t="s">
        <v>591</v>
      </c>
      <c r="C9" s="5">
        <f>+[3]Summaries!I$9</f>
        <v>0</v>
      </c>
      <c r="D9" s="5">
        <f>+[3]Summaries!J$9</f>
        <v>0</v>
      </c>
      <c r="E9" s="5">
        <f>+[3]Summaries!K$9</f>
        <v>0</v>
      </c>
      <c r="F9" s="5">
        <f>+[3]Summaries!L$9</f>
        <v>0</v>
      </c>
    </row>
    <row r="10" spans="1:26" s="5" customFormat="1">
      <c r="A10" s="5">
        <v>6</v>
      </c>
      <c r="B10" s="5" t="s">
        <v>592</v>
      </c>
      <c r="C10" s="5">
        <f>+[3]Summaries!I$10</f>
        <v>0</v>
      </c>
      <c r="D10" s="5">
        <f>+[3]Summaries!J$10</f>
        <v>0</v>
      </c>
      <c r="E10" s="5">
        <f>+[3]Summaries!K$10</f>
        <v>0</v>
      </c>
      <c r="F10" s="5">
        <f>+[3]Summaries!L$10</f>
        <v>0</v>
      </c>
    </row>
    <row r="11" spans="1:26" s="5" customFormat="1">
      <c r="A11" s="5">
        <v>7</v>
      </c>
      <c r="B11" s="5" t="s">
        <v>593</v>
      </c>
      <c r="C11" s="5">
        <f>+[3]Summaries!I$11</f>
        <v>0</v>
      </c>
      <c r="D11" s="5">
        <f>+[3]Summaries!J$11</f>
        <v>42078.384870000002</v>
      </c>
      <c r="E11" s="5">
        <f>+[3]Summaries!K$11</f>
        <v>42078.384189999982</v>
      </c>
      <c r="F11" s="5">
        <f>+[3]Summaries!L$11</f>
        <v>32975.233590000011</v>
      </c>
    </row>
    <row r="12" spans="1:26" s="5" customFormat="1">
      <c r="A12" s="5">
        <v>8</v>
      </c>
      <c r="B12" s="5" t="s">
        <v>594</v>
      </c>
      <c r="C12" s="5">
        <f>+[3]Summaries!I$12</f>
        <v>0</v>
      </c>
      <c r="D12" s="5">
        <f>+[3]Summaries!J$12</f>
        <v>11799</v>
      </c>
      <c r="E12" s="5">
        <f>+[3]Summaries!K$12</f>
        <v>18387</v>
      </c>
      <c r="F12" s="5">
        <f>+[3]Summaries!L$12</f>
        <v>18387</v>
      </c>
    </row>
    <row r="13" spans="1:26" s="5" customFormat="1">
      <c r="A13" s="5">
        <v>9</v>
      </c>
      <c r="B13" s="5" t="s">
        <v>595</v>
      </c>
      <c r="C13" s="5">
        <f>+[3]Summaries!I$13</f>
        <v>0</v>
      </c>
      <c r="D13" s="5">
        <f>+[3]Summaries!J$13</f>
        <v>34516.915790666673</v>
      </c>
      <c r="E13" s="5">
        <f>+[3]Summaries!K$13</f>
        <v>35275.198857333336</v>
      </c>
      <c r="F13" s="5">
        <f>+[3]Summaries!L$13</f>
        <v>35911.132190666671</v>
      </c>
    </row>
    <row r="14" spans="1:26" s="5" customFormat="1">
      <c r="A14" s="5">
        <v>10</v>
      </c>
      <c r="B14" s="83" t="s">
        <v>596</v>
      </c>
      <c r="C14" s="5">
        <f>SUM(C9:C13)</f>
        <v>0</v>
      </c>
      <c r="D14" s="5">
        <f t="shared" ref="D14:F14" si="1">SUM(D9:D13)</f>
        <v>88394.300660666675</v>
      </c>
      <c r="E14" s="5">
        <f t="shared" si="1"/>
        <v>95740.583047333319</v>
      </c>
      <c r="F14" s="5">
        <f t="shared" si="1"/>
        <v>87273.365780666674</v>
      </c>
    </row>
    <row r="15" spans="1:26" s="5" customFormat="1">
      <c r="A15" s="5">
        <v>11</v>
      </c>
      <c r="B15" s="83" t="s">
        <v>597</v>
      </c>
      <c r="C15" s="5">
        <f>+C14+C8</f>
        <v>0</v>
      </c>
      <c r="D15" s="5">
        <f t="shared" ref="D15:F15" si="2">+D14+D8</f>
        <v>227563.95399399998</v>
      </c>
      <c r="E15" s="5">
        <f t="shared" si="2"/>
        <v>236689.23638066664</v>
      </c>
      <c r="F15" s="5">
        <f t="shared" si="2"/>
        <v>231428.019114</v>
      </c>
    </row>
    <row r="16" spans="1:26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129" t="s">
        <v>232</v>
      </c>
      <c r="B18" s="25" t="s">
        <v>598</v>
      </c>
      <c r="C18" s="25"/>
      <c r="D18" s="25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B19" t="s">
        <v>599</v>
      </c>
      <c r="C19" s="17">
        <f>+[3]Summaries!I$19</f>
        <v>23</v>
      </c>
      <c r="D19" s="17">
        <f>+[3]Summaries!J$19</f>
        <v>23</v>
      </c>
      <c r="E19" s="17">
        <f>+[3]Summaries!K$19</f>
        <v>23</v>
      </c>
      <c r="F19" s="17">
        <f>+[3]Summaries!L$19</f>
        <v>23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9" t="s">
        <v>352</v>
      </c>
      <c r="B20" t="s">
        <v>600</v>
      </c>
      <c r="C20" s="32">
        <f>+[3]Summaries!I$20</f>
        <v>3321</v>
      </c>
      <c r="D20" s="32">
        <f>+[3]Summaries!J$20</f>
        <v>3316</v>
      </c>
      <c r="E20" s="32">
        <f>+[3]Summaries!K$20</f>
        <v>3316</v>
      </c>
      <c r="F20" s="32">
        <f>+[3]Summaries!L$20</f>
        <v>3316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3" spans="1:26">
      <c r="B23" s="25" t="s">
        <v>723</v>
      </c>
      <c r="C23" s="5">
        <f>+[4]summary!C$3</f>
        <v>150332.93040956871</v>
      </c>
      <c r="D23" s="5">
        <f>+[4]summary!D$3</f>
        <v>149004.06309605573</v>
      </c>
      <c r="E23" s="5">
        <f>+[4]summary!D$3</f>
        <v>149004.06309605573</v>
      </c>
      <c r="F23" s="5">
        <f>+[4]summary!E$3</f>
        <v>153890.39494765675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B24" s="25" t="s">
        <v>682</v>
      </c>
      <c r="C24" s="5">
        <f>+[4]summary!C$4</f>
        <v>32754.639175257733</v>
      </c>
      <c r="D24" s="5">
        <f>+[4]summary!D$4</f>
        <v>32754.639175257733</v>
      </c>
      <c r="E24" s="5">
        <f>+[4]summary!D$4</f>
        <v>32754.639175257733</v>
      </c>
      <c r="F24" s="5">
        <f>+[4]summary!E$4</f>
        <v>32754.639175257733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B25" s="25" t="s">
        <v>683</v>
      </c>
      <c r="C25" s="5">
        <f>+[4]summary!C$5</f>
        <v>37637.319587628866</v>
      </c>
      <c r="D25" s="5">
        <f>+[4]summary!D$5</f>
        <v>37637.319587628866</v>
      </c>
      <c r="E25" s="5">
        <f>+[4]summary!D$5</f>
        <v>37637.319587628866</v>
      </c>
      <c r="F25" s="5">
        <f>+[4]summary!E$5</f>
        <v>37637.319587628866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B26" t="s">
        <v>620</v>
      </c>
      <c r="C26" s="5">
        <f>+[4]summary!C$7</f>
        <v>4108</v>
      </c>
      <c r="D26" s="5">
        <f>+[4]summary!D$7</f>
        <v>4108</v>
      </c>
      <c r="E26" s="5">
        <f>+[4]summary!D$7</f>
        <v>4108</v>
      </c>
      <c r="F26" s="5">
        <f>+[4]summary!E$7</f>
        <v>4108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B27" t="s">
        <v>619</v>
      </c>
      <c r="C27" s="5">
        <f>+[4]summary!C$6</f>
        <v>1655.8333333333333</v>
      </c>
      <c r="D27" s="5">
        <f>+[4]summary!D$6</f>
        <v>1655.8333333333333</v>
      </c>
      <c r="E27" s="5">
        <f>+[4]summary!D$6</f>
        <v>1655.8333333333333</v>
      </c>
      <c r="F27" s="5">
        <f>+[4]summary!E$6</f>
        <v>1655.8333333333333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B28" s="25"/>
      <c r="C28" s="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s="127" customFormat="1">
      <c r="B29" s="198" t="s">
        <v>702</v>
      </c>
      <c r="C29" s="127">
        <f>+'[5]DECON Summary'!C$18</f>
        <v>33737.850966570033</v>
      </c>
      <c r="D29" s="127">
        <f>+'[5]DECON Summary'!D$18</f>
        <v>35213.063821739612</v>
      </c>
      <c r="E29" s="127">
        <f>+'[5]DECON Summary'!E$18</f>
        <v>36753.702599078257</v>
      </c>
      <c r="F29" s="127">
        <f>+'[5]DECON Summary'!F$18</f>
        <v>38362.713615484623</v>
      </c>
    </row>
    <row r="30" spans="1:26">
      <c r="B30" s="25" t="s">
        <v>717</v>
      </c>
      <c r="E30" s="10">
        <f>SUM(E23:E28)</f>
        <v>225159.85519227569</v>
      </c>
      <c r="F30" s="10">
        <f t="shared" ref="F30" si="3">SUM(F23:F28)</f>
        <v>230046.18704387671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E31" s="186"/>
    </row>
    <row r="32" spans="1:26">
      <c r="E32" s="5">
        <f>+E30+E15</f>
        <v>461849.09157294233</v>
      </c>
      <c r="F32" s="5">
        <f t="shared" ref="F32" si="4">+F30+F15</f>
        <v>461474.2061578767</v>
      </c>
      <c r="G32" s="5"/>
      <c r="H32" s="5"/>
      <c r="I32" s="5"/>
      <c r="J32" s="5"/>
      <c r="K32" s="5"/>
      <c r="L32" s="5"/>
      <c r="M32" s="5"/>
      <c r="N32" s="5"/>
      <c r="O32" s="5"/>
    </row>
    <row r="37" spans="5:17"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5:17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5:17"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0.59999389629810485"/>
  </sheetPr>
  <dimension ref="B1:AH303"/>
  <sheetViews>
    <sheetView workbookViewId="0">
      <selection activeCell="N22" sqref="N22:N23"/>
    </sheetView>
  </sheetViews>
  <sheetFormatPr defaultRowHeight="12.75"/>
  <cols>
    <col min="1" max="1" width="0.140625" style="114" customWidth="1"/>
    <col min="2" max="2" width="22.140625" style="115" customWidth="1"/>
    <col min="3" max="5" width="22.140625" style="115" hidden="1" customWidth="1"/>
    <col min="6" max="6" width="14.85546875" style="110" customWidth="1"/>
    <col min="7" max="12" width="11.5703125" style="114" bestFit="1" customWidth="1"/>
    <col min="13" max="31" width="11.28515625" style="114" bestFit="1" customWidth="1"/>
    <col min="32" max="254" width="9.140625" style="114"/>
    <col min="255" max="255" width="0.140625" style="114" customWidth="1"/>
    <col min="256" max="256" width="35.140625" style="114" customWidth="1"/>
    <col min="257" max="257" width="9.7109375" style="114" customWidth="1"/>
    <col min="258" max="258" width="9.42578125" style="114" customWidth="1"/>
    <col min="259" max="259" width="10.42578125" style="114" customWidth="1"/>
    <col min="260" max="262" width="13.7109375" style="114" customWidth="1"/>
    <col min="263" max="510" width="9.140625" style="114"/>
    <col min="511" max="511" width="0.140625" style="114" customWidth="1"/>
    <col min="512" max="512" width="35.140625" style="114" customWidth="1"/>
    <col min="513" max="513" width="9.7109375" style="114" customWidth="1"/>
    <col min="514" max="514" width="9.42578125" style="114" customWidth="1"/>
    <col min="515" max="515" width="10.42578125" style="114" customWidth="1"/>
    <col min="516" max="518" width="13.7109375" style="114" customWidth="1"/>
    <col min="519" max="766" width="9.140625" style="114"/>
    <col min="767" max="767" width="0.140625" style="114" customWidth="1"/>
    <col min="768" max="768" width="35.140625" style="114" customWidth="1"/>
    <col min="769" max="769" width="9.7109375" style="114" customWidth="1"/>
    <col min="770" max="770" width="9.42578125" style="114" customWidth="1"/>
    <col min="771" max="771" width="10.42578125" style="114" customWidth="1"/>
    <col min="772" max="774" width="13.7109375" style="114" customWidth="1"/>
    <col min="775" max="1022" width="9.140625" style="114"/>
    <col min="1023" max="1023" width="0.140625" style="114" customWidth="1"/>
    <col min="1024" max="1024" width="35.140625" style="114" customWidth="1"/>
    <col min="1025" max="1025" width="9.7109375" style="114" customWidth="1"/>
    <col min="1026" max="1026" width="9.42578125" style="114" customWidth="1"/>
    <col min="1027" max="1027" width="10.42578125" style="114" customWidth="1"/>
    <col min="1028" max="1030" width="13.7109375" style="114" customWidth="1"/>
    <col min="1031" max="1278" width="9.140625" style="114"/>
    <col min="1279" max="1279" width="0.140625" style="114" customWidth="1"/>
    <col min="1280" max="1280" width="35.140625" style="114" customWidth="1"/>
    <col min="1281" max="1281" width="9.7109375" style="114" customWidth="1"/>
    <col min="1282" max="1282" width="9.42578125" style="114" customWidth="1"/>
    <col min="1283" max="1283" width="10.42578125" style="114" customWidth="1"/>
    <col min="1284" max="1286" width="13.7109375" style="114" customWidth="1"/>
    <col min="1287" max="1534" width="9.140625" style="114"/>
    <col min="1535" max="1535" width="0.140625" style="114" customWidth="1"/>
    <col min="1536" max="1536" width="35.140625" style="114" customWidth="1"/>
    <col min="1537" max="1537" width="9.7109375" style="114" customWidth="1"/>
    <col min="1538" max="1538" width="9.42578125" style="114" customWidth="1"/>
    <col min="1539" max="1539" width="10.42578125" style="114" customWidth="1"/>
    <col min="1540" max="1542" width="13.7109375" style="114" customWidth="1"/>
    <col min="1543" max="1790" width="9.140625" style="114"/>
    <col min="1791" max="1791" width="0.140625" style="114" customWidth="1"/>
    <col min="1792" max="1792" width="35.140625" style="114" customWidth="1"/>
    <col min="1793" max="1793" width="9.7109375" style="114" customWidth="1"/>
    <col min="1794" max="1794" width="9.42578125" style="114" customWidth="1"/>
    <col min="1795" max="1795" width="10.42578125" style="114" customWidth="1"/>
    <col min="1796" max="1798" width="13.7109375" style="114" customWidth="1"/>
    <col min="1799" max="2046" width="9.140625" style="114"/>
    <col min="2047" max="2047" width="0.140625" style="114" customWidth="1"/>
    <col min="2048" max="2048" width="35.140625" style="114" customWidth="1"/>
    <col min="2049" max="2049" width="9.7109375" style="114" customWidth="1"/>
    <col min="2050" max="2050" width="9.42578125" style="114" customWidth="1"/>
    <col min="2051" max="2051" width="10.42578125" style="114" customWidth="1"/>
    <col min="2052" max="2054" width="13.7109375" style="114" customWidth="1"/>
    <col min="2055" max="2302" width="9.140625" style="114"/>
    <col min="2303" max="2303" width="0.140625" style="114" customWidth="1"/>
    <col min="2304" max="2304" width="35.140625" style="114" customWidth="1"/>
    <col min="2305" max="2305" width="9.7109375" style="114" customWidth="1"/>
    <col min="2306" max="2306" width="9.42578125" style="114" customWidth="1"/>
    <col min="2307" max="2307" width="10.42578125" style="114" customWidth="1"/>
    <col min="2308" max="2310" width="13.7109375" style="114" customWidth="1"/>
    <col min="2311" max="2558" width="9.140625" style="114"/>
    <col min="2559" max="2559" width="0.140625" style="114" customWidth="1"/>
    <col min="2560" max="2560" width="35.140625" style="114" customWidth="1"/>
    <col min="2561" max="2561" width="9.7109375" style="114" customWidth="1"/>
    <col min="2562" max="2562" width="9.42578125" style="114" customWidth="1"/>
    <col min="2563" max="2563" width="10.42578125" style="114" customWidth="1"/>
    <col min="2564" max="2566" width="13.7109375" style="114" customWidth="1"/>
    <col min="2567" max="2814" width="9.140625" style="114"/>
    <col min="2815" max="2815" width="0.140625" style="114" customWidth="1"/>
    <col min="2816" max="2816" width="35.140625" style="114" customWidth="1"/>
    <col min="2817" max="2817" width="9.7109375" style="114" customWidth="1"/>
    <col min="2818" max="2818" width="9.42578125" style="114" customWidth="1"/>
    <col min="2819" max="2819" width="10.42578125" style="114" customWidth="1"/>
    <col min="2820" max="2822" width="13.7109375" style="114" customWidth="1"/>
    <col min="2823" max="3070" width="9.140625" style="114"/>
    <col min="3071" max="3071" width="0.140625" style="114" customWidth="1"/>
    <col min="3072" max="3072" width="35.140625" style="114" customWidth="1"/>
    <col min="3073" max="3073" width="9.7109375" style="114" customWidth="1"/>
    <col min="3074" max="3074" width="9.42578125" style="114" customWidth="1"/>
    <col min="3075" max="3075" width="10.42578125" style="114" customWidth="1"/>
    <col min="3076" max="3078" width="13.7109375" style="114" customWidth="1"/>
    <col min="3079" max="3326" width="9.140625" style="114"/>
    <col min="3327" max="3327" width="0.140625" style="114" customWidth="1"/>
    <col min="3328" max="3328" width="35.140625" style="114" customWidth="1"/>
    <col min="3329" max="3329" width="9.7109375" style="114" customWidth="1"/>
    <col min="3330" max="3330" width="9.42578125" style="114" customWidth="1"/>
    <col min="3331" max="3331" width="10.42578125" style="114" customWidth="1"/>
    <col min="3332" max="3334" width="13.7109375" style="114" customWidth="1"/>
    <col min="3335" max="3582" width="9.140625" style="114"/>
    <col min="3583" max="3583" width="0.140625" style="114" customWidth="1"/>
    <col min="3584" max="3584" width="35.140625" style="114" customWidth="1"/>
    <col min="3585" max="3585" width="9.7109375" style="114" customWidth="1"/>
    <col min="3586" max="3586" width="9.42578125" style="114" customWidth="1"/>
    <col min="3587" max="3587" width="10.42578125" style="114" customWidth="1"/>
    <col min="3588" max="3590" width="13.7109375" style="114" customWidth="1"/>
    <col min="3591" max="3838" width="9.140625" style="114"/>
    <col min="3839" max="3839" width="0.140625" style="114" customWidth="1"/>
    <col min="3840" max="3840" width="35.140625" style="114" customWidth="1"/>
    <col min="3841" max="3841" width="9.7109375" style="114" customWidth="1"/>
    <col min="3842" max="3842" width="9.42578125" style="114" customWidth="1"/>
    <col min="3843" max="3843" width="10.42578125" style="114" customWidth="1"/>
    <col min="3844" max="3846" width="13.7109375" style="114" customWidth="1"/>
    <col min="3847" max="4094" width="9.140625" style="114"/>
    <col min="4095" max="4095" width="0.140625" style="114" customWidth="1"/>
    <col min="4096" max="4096" width="35.140625" style="114" customWidth="1"/>
    <col min="4097" max="4097" width="9.7109375" style="114" customWidth="1"/>
    <col min="4098" max="4098" width="9.42578125" style="114" customWidth="1"/>
    <col min="4099" max="4099" width="10.42578125" style="114" customWidth="1"/>
    <col min="4100" max="4102" width="13.7109375" style="114" customWidth="1"/>
    <col min="4103" max="4350" width="9.140625" style="114"/>
    <col min="4351" max="4351" width="0.140625" style="114" customWidth="1"/>
    <col min="4352" max="4352" width="35.140625" style="114" customWidth="1"/>
    <col min="4353" max="4353" width="9.7109375" style="114" customWidth="1"/>
    <col min="4354" max="4354" width="9.42578125" style="114" customWidth="1"/>
    <col min="4355" max="4355" width="10.42578125" style="114" customWidth="1"/>
    <col min="4356" max="4358" width="13.7109375" style="114" customWidth="1"/>
    <col min="4359" max="4606" width="9.140625" style="114"/>
    <col min="4607" max="4607" width="0.140625" style="114" customWidth="1"/>
    <col min="4608" max="4608" width="35.140625" style="114" customWidth="1"/>
    <col min="4609" max="4609" width="9.7109375" style="114" customWidth="1"/>
    <col min="4610" max="4610" width="9.42578125" style="114" customWidth="1"/>
    <col min="4611" max="4611" width="10.42578125" style="114" customWidth="1"/>
    <col min="4612" max="4614" width="13.7109375" style="114" customWidth="1"/>
    <col min="4615" max="4862" width="9.140625" style="114"/>
    <col min="4863" max="4863" width="0.140625" style="114" customWidth="1"/>
    <col min="4864" max="4864" width="35.140625" style="114" customWidth="1"/>
    <col min="4865" max="4865" width="9.7109375" style="114" customWidth="1"/>
    <col min="4866" max="4866" width="9.42578125" style="114" customWidth="1"/>
    <col min="4867" max="4867" width="10.42578125" style="114" customWidth="1"/>
    <col min="4868" max="4870" width="13.7109375" style="114" customWidth="1"/>
    <col min="4871" max="5118" width="9.140625" style="114"/>
    <col min="5119" max="5119" width="0.140625" style="114" customWidth="1"/>
    <col min="5120" max="5120" width="35.140625" style="114" customWidth="1"/>
    <col min="5121" max="5121" width="9.7109375" style="114" customWidth="1"/>
    <col min="5122" max="5122" width="9.42578125" style="114" customWidth="1"/>
    <col min="5123" max="5123" width="10.42578125" style="114" customWidth="1"/>
    <col min="5124" max="5126" width="13.7109375" style="114" customWidth="1"/>
    <col min="5127" max="5374" width="9.140625" style="114"/>
    <col min="5375" max="5375" width="0.140625" style="114" customWidth="1"/>
    <col min="5376" max="5376" width="35.140625" style="114" customWidth="1"/>
    <col min="5377" max="5377" width="9.7109375" style="114" customWidth="1"/>
    <col min="5378" max="5378" width="9.42578125" style="114" customWidth="1"/>
    <col min="5379" max="5379" width="10.42578125" style="114" customWidth="1"/>
    <col min="5380" max="5382" width="13.7109375" style="114" customWidth="1"/>
    <col min="5383" max="5630" width="9.140625" style="114"/>
    <col min="5631" max="5631" width="0.140625" style="114" customWidth="1"/>
    <col min="5632" max="5632" width="35.140625" style="114" customWidth="1"/>
    <col min="5633" max="5633" width="9.7109375" style="114" customWidth="1"/>
    <col min="5634" max="5634" width="9.42578125" style="114" customWidth="1"/>
    <col min="5635" max="5635" width="10.42578125" style="114" customWidth="1"/>
    <col min="5636" max="5638" width="13.7109375" style="114" customWidth="1"/>
    <col min="5639" max="5886" width="9.140625" style="114"/>
    <col min="5887" max="5887" width="0.140625" style="114" customWidth="1"/>
    <col min="5888" max="5888" width="35.140625" style="114" customWidth="1"/>
    <col min="5889" max="5889" width="9.7109375" style="114" customWidth="1"/>
    <col min="5890" max="5890" width="9.42578125" style="114" customWidth="1"/>
    <col min="5891" max="5891" width="10.42578125" style="114" customWidth="1"/>
    <col min="5892" max="5894" width="13.7109375" style="114" customWidth="1"/>
    <col min="5895" max="6142" width="9.140625" style="114"/>
    <col min="6143" max="6143" width="0.140625" style="114" customWidth="1"/>
    <col min="6144" max="6144" width="35.140625" style="114" customWidth="1"/>
    <col min="6145" max="6145" width="9.7109375" style="114" customWidth="1"/>
    <col min="6146" max="6146" width="9.42578125" style="114" customWidth="1"/>
    <col min="6147" max="6147" width="10.42578125" style="114" customWidth="1"/>
    <col min="6148" max="6150" width="13.7109375" style="114" customWidth="1"/>
    <col min="6151" max="6398" width="9.140625" style="114"/>
    <col min="6399" max="6399" width="0.140625" style="114" customWidth="1"/>
    <col min="6400" max="6400" width="35.140625" style="114" customWidth="1"/>
    <col min="6401" max="6401" width="9.7109375" style="114" customWidth="1"/>
    <col min="6402" max="6402" width="9.42578125" style="114" customWidth="1"/>
    <col min="6403" max="6403" width="10.42578125" style="114" customWidth="1"/>
    <col min="6404" max="6406" width="13.7109375" style="114" customWidth="1"/>
    <col min="6407" max="6654" width="9.140625" style="114"/>
    <col min="6655" max="6655" width="0.140625" style="114" customWidth="1"/>
    <col min="6656" max="6656" width="35.140625" style="114" customWidth="1"/>
    <col min="6657" max="6657" width="9.7109375" style="114" customWidth="1"/>
    <col min="6658" max="6658" width="9.42578125" style="114" customWidth="1"/>
    <col min="6659" max="6659" width="10.42578125" style="114" customWidth="1"/>
    <col min="6660" max="6662" width="13.7109375" style="114" customWidth="1"/>
    <col min="6663" max="6910" width="9.140625" style="114"/>
    <col min="6911" max="6911" width="0.140625" style="114" customWidth="1"/>
    <col min="6912" max="6912" width="35.140625" style="114" customWidth="1"/>
    <col min="6913" max="6913" width="9.7109375" style="114" customWidth="1"/>
    <col min="6914" max="6914" width="9.42578125" style="114" customWidth="1"/>
    <col min="6915" max="6915" width="10.42578125" style="114" customWidth="1"/>
    <col min="6916" max="6918" width="13.7109375" style="114" customWidth="1"/>
    <col min="6919" max="7166" width="9.140625" style="114"/>
    <col min="7167" max="7167" width="0.140625" style="114" customWidth="1"/>
    <col min="7168" max="7168" width="35.140625" style="114" customWidth="1"/>
    <col min="7169" max="7169" width="9.7109375" style="114" customWidth="1"/>
    <col min="7170" max="7170" width="9.42578125" style="114" customWidth="1"/>
    <col min="7171" max="7171" width="10.42578125" style="114" customWidth="1"/>
    <col min="7172" max="7174" width="13.7109375" style="114" customWidth="1"/>
    <col min="7175" max="7422" width="9.140625" style="114"/>
    <col min="7423" max="7423" width="0.140625" style="114" customWidth="1"/>
    <col min="7424" max="7424" width="35.140625" style="114" customWidth="1"/>
    <col min="7425" max="7425" width="9.7109375" style="114" customWidth="1"/>
    <col min="7426" max="7426" width="9.42578125" style="114" customWidth="1"/>
    <col min="7427" max="7427" width="10.42578125" style="114" customWidth="1"/>
    <col min="7428" max="7430" width="13.7109375" style="114" customWidth="1"/>
    <col min="7431" max="7678" width="9.140625" style="114"/>
    <col min="7679" max="7679" width="0.140625" style="114" customWidth="1"/>
    <col min="7680" max="7680" width="35.140625" style="114" customWidth="1"/>
    <col min="7681" max="7681" width="9.7109375" style="114" customWidth="1"/>
    <col min="7682" max="7682" width="9.42578125" style="114" customWidth="1"/>
    <col min="7683" max="7683" width="10.42578125" style="114" customWidth="1"/>
    <col min="7684" max="7686" width="13.7109375" style="114" customWidth="1"/>
    <col min="7687" max="7934" width="9.140625" style="114"/>
    <col min="7935" max="7935" width="0.140625" style="114" customWidth="1"/>
    <col min="7936" max="7936" width="35.140625" style="114" customWidth="1"/>
    <col min="7937" max="7937" width="9.7109375" style="114" customWidth="1"/>
    <col min="7938" max="7938" width="9.42578125" style="114" customWidth="1"/>
    <col min="7939" max="7939" width="10.42578125" style="114" customWidth="1"/>
    <col min="7940" max="7942" width="13.7109375" style="114" customWidth="1"/>
    <col min="7943" max="8190" width="9.140625" style="114"/>
    <col min="8191" max="8191" width="0.140625" style="114" customWidth="1"/>
    <col min="8192" max="8192" width="35.140625" style="114" customWidth="1"/>
    <col min="8193" max="8193" width="9.7109375" style="114" customWidth="1"/>
    <col min="8194" max="8194" width="9.42578125" style="114" customWidth="1"/>
    <col min="8195" max="8195" width="10.42578125" style="114" customWidth="1"/>
    <col min="8196" max="8198" width="13.7109375" style="114" customWidth="1"/>
    <col min="8199" max="8446" width="9.140625" style="114"/>
    <col min="8447" max="8447" width="0.140625" style="114" customWidth="1"/>
    <col min="8448" max="8448" width="35.140625" style="114" customWidth="1"/>
    <col min="8449" max="8449" width="9.7109375" style="114" customWidth="1"/>
    <col min="8450" max="8450" width="9.42578125" style="114" customWidth="1"/>
    <col min="8451" max="8451" width="10.42578125" style="114" customWidth="1"/>
    <col min="8452" max="8454" width="13.7109375" style="114" customWidth="1"/>
    <col min="8455" max="8702" width="9.140625" style="114"/>
    <col min="8703" max="8703" width="0.140625" style="114" customWidth="1"/>
    <col min="8704" max="8704" width="35.140625" style="114" customWidth="1"/>
    <col min="8705" max="8705" width="9.7109375" style="114" customWidth="1"/>
    <col min="8706" max="8706" width="9.42578125" style="114" customWidth="1"/>
    <col min="8707" max="8707" width="10.42578125" style="114" customWidth="1"/>
    <col min="8708" max="8710" width="13.7109375" style="114" customWidth="1"/>
    <col min="8711" max="8958" width="9.140625" style="114"/>
    <col min="8959" max="8959" width="0.140625" style="114" customWidth="1"/>
    <col min="8960" max="8960" width="35.140625" style="114" customWidth="1"/>
    <col min="8961" max="8961" width="9.7109375" style="114" customWidth="1"/>
    <col min="8962" max="8962" width="9.42578125" style="114" customWidth="1"/>
    <col min="8963" max="8963" width="10.42578125" style="114" customWidth="1"/>
    <col min="8964" max="8966" width="13.7109375" style="114" customWidth="1"/>
    <col min="8967" max="9214" width="9.140625" style="114"/>
    <col min="9215" max="9215" width="0.140625" style="114" customWidth="1"/>
    <col min="9216" max="9216" width="35.140625" style="114" customWidth="1"/>
    <col min="9217" max="9217" width="9.7109375" style="114" customWidth="1"/>
    <col min="9218" max="9218" width="9.42578125" style="114" customWidth="1"/>
    <col min="9219" max="9219" width="10.42578125" style="114" customWidth="1"/>
    <col min="9220" max="9222" width="13.7109375" style="114" customWidth="1"/>
    <col min="9223" max="9470" width="9.140625" style="114"/>
    <col min="9471" max="9471" width="0.140625" style="114" customWidth="1"/>
    <col min="9472" max="9472" width="35.140625" style="114" customWidth="1"/>
    <col min="9473" max="9473" width="9.7109375" style="114" customWidth="1"/>
    <col min="9474" max="9474" width="9.42578125" style="114" customWidth="1"/>
    <col min="9475" max="9475" width="10.42578125" style="114" customWidth="1"/>
    <col min="9476" max="9478" width="13.7109375" style="114" customWidth="1"/>
    <col min="9479" max="9726" width="9.140625" style="114"/>
    <col min="9727" max="9727" width="0.140625" style="114" customWidth="1"/>
    <col min="9728" max="9728" width="35.140625" style="114" customWidth="1"/>
    <col min="9729" max="9729" width="9.7109375" style="114" customWidth="1"/>
    <col min="9730" max="9730" width="9.42578125" style="114" customWidth="1"/>
    <col min="9731" max="9731" width="10.42578125" style="114" customWidth="1"/>
    <col min="9732" max="9734" width="13.7109375" style="114" customWidth="1"/>
    <col min="9735" max="9982" width="9.140625" style="114"/>
    <col min="9983" max="9983" width="0.140625" style="114" customWidth="1"/>
    <col min="9984" max="9984" width="35.140625" style="114" customWidth="1"/>
    <col min="9985" max="9985" width="9.7109375" style="114" customWidth="1"/>
    <col min="9986" max="9986" width="9.42578125" style="114" customWidth="1"/>
    <col min="9987" max="9987" width="10.42578125" style="114" customWidth="1"/>
    <col min="9988" max="9990" width="13.7109375" style="114" customWidth="1"/>
    <col min="9991" max="10238" width="9.140625" style="114"/>
    <col min="10239" max="10239" width="0.140625" style="114" customWidth="1"/>
    <col min="10240" max="10240" width="35.140625" style="114" customWidth="1"/>
    <col min="10241" max="10241" width="9.7109375" style="114" customWidth="1"/>
    <col min="10242" max="10242" width="9.42578125" style="114" customWidth="1"/>
    <col min="10243" max="10243" width="10.42578125" style="114" customWidth="1"/>
    <col min="10244" max="10246" width="13.7109375" style="114" customWidth="1"/>
    <col min="10247" max="10494" width="9.140625" style="114"/>
    <col min="10495" max="10495" width="0.140625" style="114" customWidth="1"/>
    <col min="10496" max="10496" width="35.140625" style="114" customWidth="1"/>
    <col min="10497" max="10497" width="9.7109375" style="114" customWidth="1"/>
    <col min="10498" max="10498" width="9.42578125" style="114" customWidth="1"/>
    <col min="10499" max="10499" width="10.42578125" style="114" customWidth="1"/>
    <col min="10500" max="10502" width="13.7109375" style="114" customWidth="1"/>
    <col min="10503" max="10750" width="9.140625" style="114"/>
    <col min="10751" max="10751" width="0.140625" style="114" customWidth="1"/>
    <col min="10752" max="10752" width="35.140625" style="114" customWidth="1"/>
    <col min="10753" max="10753" width="9.7109375" style="114" customWidth="1"/>
    <col min="10754" max="10754" width="9.42578125" style="114" customWidth="1"/>
    <col min="10755" max="10755" width="10.42578125" style="114" customWidth="1"/>
    <col min="10756" max="10758" width="13.7109375" style="114" customWidth="1"/>
    <col min="10759" max="11006" width="9.140625" style="114"/>
    <col min="11007" max="11007" width="0.140625" style="114" customWidth="1"/>
    <col min="11008" max="11008" width="35.140625" style="114" customWidth="1"/>
    <col min="11009" max="11009" width="9.7109375" style="114" customWidth="1"/>
    <col min="11010" max="11010" width="9.42578125" style="114" customWidth="1"/>
    <col min="11011" max="11011" width="10.42578125" style="114" customWidth="1"/>
    <col min="11012" max="11014" width="13.7109375" style="114" customWidth="1"/>
    <col min="11015" max="11262" width="9.140625" style="114"/>
    <col min="11263" max="11263" width="0.140625" style="114" customWidth="1"/>
    <col min="11264" max="11264" width="35.140625" style="114" customWidth="1"/>
    <col min="11265" max="11265" width="9.7109375" style="114" customWidth="1"/>
    <col min="11266" max="11266" width="9.42578125" style="114" customWidth="1"/>
    <col min="11267" max="11267" width="10.42578125" style="114" customWidth="1"/>
    <col min="11268" max="11270" width="13.7109375" style="114" customWidth="1"/>
    <col min="11271" max="11518" width="9.140625" style="114"/>
    <col min="11519" max="11519" width="0.140625" style="114" customWidth="1"/>
    <col min="11520" max="11520" width="35.140625" style="114" customWidth="1"/>
    <col min="11521" max="11521" width="9.7109375" style="114" customWidth="1"/>
    <col min="11522" max="11522" width="9.42578125" style="114" customWidth="1"/>
    <col min="11523" max="11523" width="10.42578125" style="114" customWidth="1"/>
    <col min="11524" max="11526" width="13.7109375" style="114" customWidth="1"/>
    <col min="11527" max="11774" width="9.140625" style="114"/>
    <col min="11775" max="11775" width="0.140625" style="114" customWidth="1"/>
    <col min="11776" max="11776" width="35.140625" style="114" customWidth="1"/>
    <col min="11777" max="11777" width="9.7109375" style="114" customWidth="1"/>
    <col min="11778" max="11778" width="9.42578125" style="114" customWidth="1"/>
    <col min="11779" max="11779" width="10.42578125" style="114" customWidth="1"/>
    <col min="11780" max="11782" width="13.7109375" style="114" customWidth="1"/>
    <col min="11783" max="12030" width="9.140625" style="114"/>
    <col min="12031" max="12031" width="0.140625" style="114" customWidth="1"/>
    <col min="12032" max="12032" width="35.140625" style="114" customWidth="1"/>
    <col min="12033" max="12033" width="9.7109375" style="114" customWidth="1"/>
    <col min="12034" max="12034" width="9.42578125" style="114" customWidth="1"/>
    <col min="12035" max="12035" width="10.42578125" style="114" customWidth="1"/>
    <col min="12036" max="12038" width="13.7109375" style="114" customWidth="1"/>
    <col min="12039" max="12286" width="9.140625" style="114"/>
    <col min="12287" max="12287" width="0.140625" style="114" customWidth="1"/>
    <col min="12288" max="12288" width="35.140625" style="114" customWidth="1"/>
    <col min="12289" max="12289" width="9.7109375" style="114" customWidth="1"/>
    <col min="12290" max="12290" width="9.42578125" style="114" customWidth="1"/>
    <col min="12291" max="12291" width="10.42578125" style="114" customWidth="1"/>
    <col min="12292" max="12294" width="13.7109375" style="114" customWidth="1"/>
    <col min="12295" max="12542" width="9.140625" style="114"/>
    <col min="12543" max="12543" width="0.140625" style="114" customWidth="1"/>
    <col min="12544" max="12544" width="35.140625" style="114" customWidth="1"/>
    <col min="12545" max="12545" width="9.7109375" style="114" customWidth="1"/>
    <col min="12546" max="12546" width="9.42578125" style="114" customWidth="1"/>
    <col min="12547" max="12547" width="10.42578125" style="114" customWidth="1"/>
    <col min="12548" max="12550" width="13.7109375" style="114" customWidth="1"/>
    <col min="12551" max="12798" width="9.140625" style="114"/>
    <col min="12799" max="12799" width="0.140625" style="114" customWidth="1"/>
    <col min="12800" max="12800" width="35.140625" style="114" customWidth="1"/>
    <col min="12801" max="12801" width="9.7109375" style="114" customWidth="1"/>
    <col min="12802" max="12802" width="9.42578125" style="114" customWidth="1"/>
    <col min="12803" max="12803" width="10.42578125" style="114" customWidth="1"/>
    <col min="12804" max="12806" width="13.7109375" style="114" customWidth="1"/>
    <col min="12807" max="13054" width="9.140625" style="114"/>
    <col min="13055" max="13055" width="0.140625" style="114" customWidth="1"/>
    <col min="13056" max="13056" width="35.140625" style="114" customWidth="1"/>
    <col min="13057" max="13057" width="9.7109375" style="114" customWidth="1"/>
    <col min="13058" max="13058" width="9.42578125" style="114" customWidth="1"/>
    <col min="13059" max="13059" width="10.42578125" style="114" customWidth="1"/>
    <col min="13060" max="13062" width="13.7109375" style="114" customWidth="1"/>
    <col min="13063" max="13310" width="9.140625" style="114"/>
    <col min="13311" max="13311" width="0.140625" style="114" customWidth="1"/>
    <col min="13312" max="13312" width="35.140625" style="114" customWidth="1"/>
    <col min="13313" max="13313" width="9.7109375" style="114" customWidth="1"/>
    <col min="13314" max="13314" width="9.42578125" style="114" customWidth="1"/>
    <col min="13315" max="13315" width="10.42578125" style="114" customWidth="1"/>
    <col min="13316" max="13318" width="13.7109375" style="114" customWidth="1"/>
    <col min="13319" max="13566" width="9.140625" style="114"/>
    <col min="13567" max="13567" width="0.140625" style="114" customWidth="1"/>
    <col min="13568" max="13568" width="35.140625" style="114" customWidth="1"/>
    <col min="13569" max="13569" width="9.7109375" style="114" customWidth="1"/>
    <col min="13570" max="13570" width="9.42578125" style="114" customWidth="1"/>
    <col min="13571" max="13571" width="10.42578125" style="114" customWidth="1"/>
    <col min="13572" max="13574" width="13.7109375" style="114" customWidth="1"/>
    <col min="13575" max="13822" width="9.140625" style="114"/>
    <col min="13823" max="13823" width="0.140625" style="114" customWidth="1"/>
    <col min="13824" max="13824" width="35.140625" style="114" customWidth="1"/>
    <col min="13825" max="13825" width="9.7109375" style="114" customWidth="1"/>
    <col min="13826" max="13826" width="9.42578125" style="114" customWidth="1"/>
    <col min="13827" max="13827" width="10.42578125" style="114" customWidth="1"/>
    <col min="13828" max="13830" width="13.7109375" style="114" customWidth="1"/>
    <col min="13831" max="14078" width="9.140625" style="114"/>
    <col min="14079" max="14079" width="0.140625" style="114" customWidth="1"/>
    <col min="14080" max="14080" width="35.140625" style="114" customWidth="1"/>
    <col min="14081" max="14081" width="9.7109375" style="114" customWidth="1"/>
    <col min="14082" max="14082" width="9.42578125" style="114" customWidth="1"/>
    <col min="14083" max="14083" width="10.42578125" style="114" customWidth="1"/>
    <col min="14084" max="14086" width="13.7109375" style="114" customWidth="1"/>
    <col min="14087" max="14334" width="9.140625" style="114"/>
    <col min="14335" max="14335" width="0.140625" style="114" customWidth="1"/>
    <col min="14336" max="14336" width="35.140625" style="114" customWidth="1"/>
    <col min="14337" max="14337" width="9.7109375" style="114" customWidth="1"/>
    <col min="14338" max="14338" width="9.42578125" style="114" customWidth="1"/>
    <col min="14339" max="14339" width="10.42578125" style="114" customWidth="1"/>
    <col min="14340" max="14342" width="13.7109375" style="114" customWidth="1"/>
    <col min="14343" max="14590" width="9.140625" style="114"/>
    <col min="14591" max="14591" width="0.140625" style="114" customWidth="1"/>
    <col min="14592" max="14592" width="35.140625" style="114" customWidth="1"/>
    <col min="14593" max="14593" width="9.7109375" style="114" customWidth="1"/>
    <col min="14594" max="14594" width="9.42578125" style="114" customWidth="1"/>
    <col min="14595" max="14595" width="10.42578125" style="114" customWidth="1"/>
    <col min="14596" max="14598" width="13.7109375" style="114" customWidth="1"/>
    <col min="14599" max="14846" width="9.140625" style="114"/>
    <col min="14847" max="14847" width="0.140625" style="114" customWidth="1"/>
    <col min="14848" max="14848" width="35.140625" style="114" customWidth="1"/>
    <col min="14849" max="14849" width="9.7109375" style="114" customWidth="1"/>
    <col min="14850" max="14850" width="9.42578125" style="114" customWidth="1"/>
    <col min="14851" max="14851" width="10.42578125" style="114" customWidth="1"/>
    <col min="14852" max="14854" width="13.7109375" style="114" customWidth="1"/>
    <col min="14855" max="15102" width="9.140625" style="114"/>
    <col min="15103" max="15103" width="0.140625" style="114" customWidth="1"/>
    <col min="15104" max="15104" width="35.140625" style="114" customWidth="1"/>
    <col min="15105" max="15105" width="9.7109375" style="114" customWidth="1"/>
    <col min="15106" max="15106" width="9.42578125" style="114" customWidth="1"/>
    <col min="15107" max="15107" width="10.42578125" style="114" customWidth="1"/>
    <col min="15108" max="15110" width="13.7109375" style="114" customWidth="1"/>
    <col min="15111" max="15358" width="9.140625" style="114"/>
    <col min="15359" max="15359" width="0.140625" style="114" customWidth="1"/>
    <col min="15360" max="15360" width="35.140625" style="114" customWidth="1"/>
    <col min="15361" max="15361" width="9.7109375" style="114" customWidth="1"/>
    <col min="15362" max="15362" width="9.42578125" style="114" customWidth="1"/>
    <col min="15363" max="15363" width="10.42578125" style="114" customWidth="1"/>
    <col min="15364" max="15366" width="13.7109375" style="114" customWidth="1"/>
    <col min="15367" max="15614" width="9.140625" style="114"/>
    <col min="15615" max="15615" width="0.140625" style="114" customWidth="1"/>
    <col min="15616" max="15616" width="35.140625" style="114" customWidth="1"/>
    <col min="15617" max="15617" width="9.7109375" style="114" customWidth="1"/>
    <col min="15618" max="15618" width="9.42578125" style="114" customWidth="1"/>
    <col min="15619" max="15619" width="10.42578125" style="114" customWidth="1"/>
    <col min="15620" max="15622" width="13.7109375" style="114" customWidth="1"/>
    <col min="15623" max="15870" width="9.140625" style="114"/>
    <col min="15871" max="15871" width="0.140625" style="114" customWidth="1"/>
    <col min="15872" max="15872" width="35.140625" style="114" customWidth="1"/>
    <col min="15873" max="15873" width="9.7109375" style="114" customWidth="1"/>
    <col min="15874" max="15874" width="9.42578125" style="114" customWidth="1"/>
    <col min="15875" max="15875" width="10.42578125" style="114" customWidth="1"/>
    <col min="15876" max="15878" width="13.7109375" style="114" customWidth="1"/>
    <col min="15879" max="16126" width="9.140625" style="114"/>
    <col min="16127" max="16127" width="0.140625" style="114" customWidth="1"/>
    <col min="16128" max="16128" width="35.140625" style="114" customWidth="1"/>
    <col min="16129" max="16129" width="9.7109375" style="114" customWidth="1"/>
    <col min="16130" max="16130" width="9.42578125" style="114" customWidth="1"/>
    <col min="16131" max="16131" width="10.42578125" style="114" customWidth="1"/>
    <col min="16132" max="16134" width="13.7109375" style="114" customWidth="1"/>
    <col min="16135" max="16384" width="9.140625" style="114"/>
  </cols>
  <sheetData>
    <row r="1" spans="2:34" ht="18" customHeight="1">
      <c r="G1" s="153"/>
      <c r="H1" s="153"/>
    </row>
    <row r="2" spans="2:34" ht="15.2" customHeight="1"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</row>
    <row r="3" spans="2:34">
      <c r="B3" s="116"/>
      <c r="C3" s="114">
        <v>2018</v>
      </c>
      <c r="D3" s="114">
        <v>2020</v>
      </c>
      <c r="E3" s="114">
        <v>2021</v>
      </c>
      <c r="F3" s="114">
        <v>2022</v>
      </c>
      <c r="G3" s="114">
        <v>2023</v>
      </c>
    </row>
    <row r="4" spans="2:34" s="110" customFormat="1" ht="21.75" customHeight="1">
      <c r="B4" s="171" t="s">
        <v>611</v>
      </c>
      <c r="C4" s="171">
        <f>+C6-C5</f>
        <v>205511</v>
      </c>
      <c r="D4" s="171"/>
      <c r="E4" s="171"/>
      <c r="F4" s="171">
        <f>(+'[7]Initial BP-22 IPR Capital'!F$81+'[7]Initial BP-22 IPR Capital'!F$83)/1000</f>
        <v>264120</v>
      </c>
      <c r="G4" s="171">
        <f>(+'[7]Initial BP-22 IPR Capital'!G$81+'[7]Initial BP-22 IPR Capital'!G$83)/1000</f>
        <v>281260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</row>
    <row r="5" spans="2:34" s="110" customFormat="1">
      <c r="B5" s="171" t="s">
        <v>612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2:34" s="110" customFormat="1">
      <c r="B6" s="171" t="s">
        <v>613</v>
      </c>
      <c r="C6" s="171">
        <v>205511</v>
      </c>
      <c r="D6" s="171"/>
      <c r="E6" s="171"/>
      <c r="F6" s="171">
        <f t="shared" ref="F6:G6" si="0">+F4</f>
        <v>264120</v>
      </c>
      <c r="G6" s="171">
        <f t="shared" si="0"/>
        <v>281260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2:34" s="110" customFormat="1" ht="15">
      <c r="B7" s="171"/>
      <c r="C7" s="171"/>
      <c r="D7" s="171"/>
      <c r="E7" s="171"/>
      <c r="F7" s="172"/>
      <c r="G7" s="172"/>
      <c r="H7" s="172"/>
      <c r="I7" s="172"/>
      <c r="J7" s="172"/>
      <c r="K7" s="172"/>
      <c r="L7" s="172"/>
    </row>
    <row r="8" spans="2:34" s="110" customFormat="1" ht="15">
      <c r="B8" s="171" t="s">
        <v>664</v>
      </c>
      <c r="C8" s="174">
        <v>48340.419323000002</v>
      </c>
      <c r="D8" s="174"/>
      <c r="E8" s="174"/>
      <c r="F8" s="174">
        <f>+[8]Sheet2!B$6</f>
        <v>19168.461743240001</v>
      </c>
      <c r="G8" s="174">
        <f>+[8]Sheet2!C$6</f>
        <v>8210.2563999999984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</row>
    <row r="9" spans="2:34" s="110" customFormat="1">
      <c r="B9" s="171" t="s">
        <v>487</v>
      </c>
      <c r="C9" s="171">
        <v>9862.5326734999981</v>
      </c>
      <c r="D9" s="171"/>
      <c r="E9" s="171"/>
      <c r="F9" s="171">
        <f>('[7]Initial BP-22 IPR Capital'!F$85+'[7]Initial BP-22 IPR Capital'!F$80*0.35)/1000</f>
        <v>6969.8</v>
      </c>
      <c r="G9" s="171">
        <f>('[7]Initial BP-22 IPR Capital'!G$85+'[7]Initial BP-22 IPR Capital'!G$80*0.35)/1000</f>
        <v>6879.8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</row>
    <row r="10" spans="2:34" s="110" customFormat="1">
      <c r="B10" s="171" t="s">
        <v>393</v>
      </c>
      <c r="C10" s="171">
        <v>37000</v>
      </c>
      <c r="D10" s="171"/>
      <c r="E10" s="171"/>
      <c r="F10" s="171">
        <f>+'[7]Initial BP-22 IPR Capital'!F$86/1000</f>
        <v>43000</v>
      </c>
      <c r="G10" s="171">
        <f>+'[7]Initial BP-22 IPR Capital'!G$86/1000</f>
        <v>43000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</row>
    <row r="11" spans="2:34" s="110" customFormat="1">
      <c r="B11" s="171" t="s">
        <v>663</v>
      </c>
      <c r="C11" s="171">
        <f>SUM(C6:C10)</f>
        <v>300713.95199650002</v>
      </c>
      <c r="D11" s="171"/>
      <c r="E11" s="171"/>
      <c r="F11" s="171">
        <f>SUM(F6:F9)</f>
        <v>290258.26174324</v>
      </c>
      <c r="G11" s="171">
        <f t="shared" ref="G11" si="1">SUM(G6:G9)</f>
        <v>296350.0564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</row>
    <row r="12" spans="2:34" s="110" customFormat="1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</row>
    <row r="13" spans="2:34" s="110" customFormat="1"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</row>
    <row r="14" spans="2:34">
      <c r="B14" s="117" t="s">
        <v>635</v>
      </c>
      <c r="C14" s="173">
        <f>+C11-C5+C13</f>
        <v>300713.95199650002</v>
      </c>
      <c r="D14" s="173"/>
      <c r="E14" s="173"/>
      <c r="F14" s="173">
        <f>+F6+F8+F9+F10+F13</f>
        <v>333258.26174324</v>
      </c>
      <c r="G14" s="173">
        <f t="shared" ref="G14" si="2">+G6+G8+G9+G10+G13</f>
        <v>339350.0564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2:34">
      <c r="B15" s="316"/>
      <c r="C15" s="316"/>
      <c r="D15" s="316"/>
      <c r="E15" s="316"/>
      <c r="F15" s="14">
        <f>+F14-F8</f>
        <v>314089.8</v>
      </c>
      <c r="G15" s="14">
        <f>+G14-G8</f>
        <v>331139.8</v>
      </c>
    </row>
    <row r="16" spans="2:34">
      <c r="B16" s="316"/>
      <c r="C16" s="316"/>
      <c r="D16" s="316"/>
      <c r="E16" s="316"/>
      <c r="F16" s="137"/>
      <c r="G16" s="137"/>
    </row>
    <row r="17" spans="2:9">
      <c r="B17" s="316"/>
      <c r="C17" s="316"/>
      <c r="D17" s="316"/>
      <c r="E17" s="316"/>
      <c r="F17" s="137"/>
      <c r="G17" s="137"/>
    </row>
    <row r="18" spans="2:9">
      <c r="B18" s="316"/>
      <c r="C18" s="316"/>
      <c r="D18" s="316"/>
      <c r="E18" s="316"/>
      <c r="F18" s="137"/>
      <c r="G18" s="6"/>
    </row>
    <row r="19" spans="2:9">
      <c r="B19" s="317"/>
      <c r="C19" s="317"/>
      <c r="D19" s="317"/>
      <c r="E19" s="317"/>
      <c r="F19" s="137">
        <f>+G6+H6</f>
        <v>281260</v>
      </c>
      <c r="G19" s="6"/>
    </row>
    <row r="20" spans="2:9" ht="13.5" customHeight="1">
      <c r="B20" s="317"/>
      <c r="C20" s="317"/>
      <c r="D20" s="317"/>
      <c r="E20" s="317"/>
      <c r="F20" s="137">
        <f>+F10+G10</f>
        <v>86000</v>
      </c>
      <c r="G20" s="6"/>
      <c r="H20" s="110"/>
      <c r="I20" s="110"/>
    </row>
    <row r="21" spans="2:9">
      <c r="B21" s="317"/>
      <c r="C21" s="317"/>
      <c r="D21" s="317"/>
      <c r="E21" s="317"/>
      <c r="F21" s="137">
        <f>+F9+G9</f>
        <v>13849.6</v>
      </c>
      <c r="G21" s="6"/>
    </row>
    <row r="22" spans="2:9">
      <c r="B22" s="317"/>
      <c r="C22" s="317"/>
      <c r="D22" s="317"/>
      <c r="E22" s="317"/>
      <c r="F22" s="137">
        <f>SUM(F19:F21)</f>
        <v>381109.6</v>
      </c>
      <c r="G22" s="6"/>
      <c r="H22" s="110"/>
      <c r="I22" s="108"/>
    </row>
    <row r="23" spans="2:9">
      <c r="B23" s="318"/>
      <c r="C23" s="318"/>
      <c r="D23" s="318"/>
      <c r="E23" s="318"/>
      <c r="F23" s="137"/>
      <c r="G23" s="6"/>
    </row>
    <row r="24" spans="2:9">
      <c r="B24" s="318"/>
      <c r="C24" s="318"/>
      <c r="D24" s="318"/>
      <c r="E24" s="318"/>
      <c r="F24" s="137">
        <f>+G8+F8+F13+G13</f>
        <v>27378.718143239999</v>
      </c>
      <c r="G24" s="6"/>
    </row>
    <row r="25" spans="2:9">
      <c r="B25" s="318"/>
      <c r="C25" s="318"/>
      <c r="D25" s="318"/>
      <c r="E25" s="318"/>
      <c r="F25" s="137"/>
      <c r="G25" s="6"/>
    </row>
    <row r="26" spans="2:9">
      <c r="B26" s="318"/>
      <c r="C26" s="318"/>
      <c r="D26" s="318"/>
      <c r="E26" s="318"/>
      <c r="F26" s="137"/>
      <c r="G26" s="6"/>
    </row>
    <row r="27" spans="2:9">
      <c r="B27" s="318"/>
      <c r="C27" s="318"/>
      <c r="D27" s="318"/>
      <c r="E27" s="318"/>
      <c r="F27" s="137"/>
      <c r="G27" s="6"/>
    </row>
    <row r="28" spans="2:9">
      <c r="B28" s="318"/>
      <c r="C28" s="318"/>
      <c r="D28" s="318"/>
      <c r="E28" s="318"/>
      <c r="F28" s="137"/>
      <c r="G28" s="6"/>
    </row>
    <row r="29" spans="2:9">
      <c r="B29" s="318"/>
      <c r="C29" s="318"/>
      <c r="D29" s="318"/>
      <c r="E29" s="318"/>
      <c r="F29" s="137"/>
      <c r="G29" s="6"/>
    </row>
    <row r="30" spans="2:9">
      <c r="B30" s="318"/>
      <c r="C30" s="318"/>
      <c r="D30" s="318"/>
      <c r="E30" s="318"/>
      <c r="F30" s="137"/>
      <c r="G30" s="6"/>
    </row>
    <row r="31" spans="2:9">
      <c r="B31" s="318"/>
      <c r="C31" s="318"/>
      <c r="D31" s="318"/>
      <c r="E31" s="318"/>
      <c r="F31" s="137"/>
      <c r="G31" s="6"/>
    </row>
    <row r="32" spans="2:9">
      <c r="B32" s="318"/>
      <c r="C32" s="318"/>
      <c r="D32" s="318"/>
      <c r="E32" s="318"/>
      <c r="F32" s="137"/>
      <c r="G32" s="6"/>
    </row>
    <row r="33" spans="2:6">
      <c r="B33" s="318"/>
      <c r="C33" s="318"/>
      <c r="D33" s="318"/>
      <c r="E33" s="318"/>
      <c r="F33" s="137"/>
    </row>
    <row r="34" spans="2:6">
      <c r="B34" s="318"/>
      <c r="C34" s="318"/>
      <c r="D34" s="318"/>
      <c r="E34" s="318"/>
      <c r="F34" s="137"/>
    </row>
    <row r="35" spans="2:6">
      <c r="B35" s="318"/>
      <c r="C35" s="318"/>
      <c r="D35" s="318"/>
      <c r="E35" s="318"/>
      <c r="F35" s="137"/>
    </row>
    <row r="36" spans="2:6">
      <c r="B36" s="318"/>
      <c r="C36" s="318"/>
      <c r="D36" s="318"/>
      <c r="E36" s="318"/>
      <c r="F36" s="137"/>
    </row>
    <row r="37" spans="2:6">
      <c r="B37" s="318"/>
      <c r="C37" s="318"/>
      <c r="D37" s="318"/>
      <c r="E37" s="318"/>
      <c r="F37" s="137"/>
    </row>
    <row r="38" spans="2:6">
      <c r="B38" s="318"/>
      <c r="C38" s="318"/>
      <c r="D38" s="318"/>
      <c r="E38" s="318"/>
      <c r="F38" s="137"/>
    </row>
    <row r="39" spans="2:6">
      <c r="B39" s="318"/>
      <c r="C39" s="318"/>
      <c r="D39" s="318"/>
      <c r="E39" s="318"/>
      <c r="F39" s="137"/>
    </row>
    <row r="40" spans="2:6">
      <c r="B40" s="318"/>
      <c r="C40" s="318"/>
      <c r="D40" s="318"/>
      <c r="E40" s="318"/>
      <c r="F40" s="137"/>
    </row>
    <row r="41" spans="2:6">
      <c r="B41" s="318"/>
      <c r="C41" s="318"/>
      <c r="D41" s="318"/>
      <c r="E41" s="318"/>
      <c r="F41" s="137"/>
    </row>
    <row r="42" spans="2:6">
      <c r="B42" s="318"/>
      <c r="C42" s="318"/>
      <c r="D42" s="318"/>
      <c r="E42" s="318"/>
      <c r="F42" s="137"/>
    </row>
    <row r="43" spans="2:6">
      <c r="B43" s="318"/>
      <c r="C43" s="318"/>
      <c r="D43" s="318"/>
      <c r="E43" s="318"/>
      <c r="F43" s="137"/>
    </row>
    <row r="44" spans="2:6">
      <c r="B44" s="318"/>
      <c r="C44" s="318"/>
      <c r="D44" s="318"/>
      <c r="E44" s="318"/>
      <c r="F44" s="137"/>
    </row>
    <row r="45" spans="2:6">
      <c r="B45" s="318"/>
      <c r="C45" s="318"/>
      <c r="D45" s="318"/>
      <c r="E45" s="318"/>
      <c r="F45" s="137"/>
    </row>
    <row r="46" spans="2:6">
      <c r="B46" s="318"/>
      <c r="C46" s="318"/>
      <c r="D46" s="318"/>
      <c r="E46" s="318"/>
      <c r="F46" s="137"/>
    </row>
    <row r="47" spans="2:6">
      <c r="B47" s="318"/>
      <c r="C47" s="318"/>
      <c r="D47" s="318"/>
      <c r="E47" s="318"/>
      <c r="F47" s="137"/>
    </row>
    <row r="48" spans="2:6">
      <c r="B48" s="318"/>
      <c r="C48" s="318"/>
      <c r="D48" s="318"/>
      <c r="E48" s="318"/>
      <c r="F48" s="137"/>
    </row>
    <row r="49" spans="2:6">
      <c r="B49" s="318"/>
      <c r="C49" s="318"/>
      <c r="D49" s="318"/>
      <c r="E49" s="318"/>
      <c r="F49" s="137"/>
    </row>
    <row r="50" spans="2:6">
      <c r="B50" s="316"/>
      <c r="C50" s="316"/>
      <c r="D50" s="316"/>
      <c r="E50" s="316"/>
      <c r="F50" s="137"/>
    </row>
    <row r="51" spans="2:6">
      <c r="B51" s="316"/>
      <c r="C51" s="316"/>
      <c r="D51" s="316"/>
      <c r="E51" s="316"/>
      <c r="F51" s="137"/>
    </row>
    <row r="52" spans="2:6">
      <c r="B52" s="317"/>
      <c r="C52" s="317"/>
      <c r="D52" s="317"/>
      <c r="E52" s="317"/>
      <c r="F52" s="137"/>
    </row>
    <row r="53" spans="2:6">
      <c r="B53" s="317"/>
      <c r="C53" s="317"/>
      <c r="D53" s="317"/>
      <c r="E53" s="317"/>
      <c r="F53" s="137"/>
    </row>
    <row r="54" spans="2:6">
      <c r="B54" s="317"/>
      <c r="C54" s="317"/>
      <c r="D54" s="317"/>
      <c r="E54" s="317"/>
      <c r="F54" s="137"/>
    </row>
    <row r="55" spans="2:6">
      <c r="B55" s="317"/>
      <c r="C55" s="317"/>
      <c r="D55" s="317"/>
      <c r="E55" s="317"/>
      <c r="F55" s="137"/>
    </row>
    <row r="56" spans="2:6">
      <c r="B56" s="316"/>
      <c r="C56" s="316"/>
      <c r="D56" s="316"/>
      <c r="E56" s="316"/>
      <c r="F56" s="137"/>
    </row>
    <row r="57" spans="2:6">
      <c r="B57" s="316"/>
      <c r="C57" s="316"/>
      <c r="D57" s="316"/>
      <c r="E57" s="316"/>
      <c r="F57" s="6"/>
    </row>
    <row r="58" spans="2:6">
      <c r="B58" s="316"/>
      <c r="C58" s="316"/>
      <c r="D58" s="316"/>
      <c r="E58" s="316"/>
      <c r="F58" s="6"/>
    </row>
    <row r="59" spans="2:6">
      <c r="B59" s="316"/>
      <c r="C59" s="316"/>
      <c r="D59" s="316"/>
      <c r="E59" s="316"/>
      <c r="F59" s="6"/>
    </row>
    <row r="60" spans="2:6">
      <c r="B60" s="316"/>
      <c r="C60" s="316"/>
      <c r="D60" s="316"/>
      <c r="E60" s="316"/>
      <c r="F60" s="6"/>
    </row>
    <row r="61" spans="2:6">
      <c r="B61" s="316"/>
      <c r="C61" s="316"/>
      <c r="D61" s="316"/>
      <c r="E61" s="316"/>
      <c r="F61" s="6"/>
    </row>
    <row r="62" spans="2:6">
      <c r="B62" s="316"/>
      <c r="C62" s="316"/>
      <c r="D62" s="316"/>
      <c r="E62" s="316"/>
      <c r="F62" s="6"/>
    </row>
    <row r="63" spans="2:6">
      <c r="B63" s="316"/>
      <c r="C63" s="316"/>
      <c r="D63" s="316"/>
      <c r="E63" s="316"/>
      <c r="F63" s="6"/>
    </row>
    <row r="64" spans="2:6">
      <c r="B64" s="316"/>
      <c r="C64" s="316"/>
      <c r="D64" s="316"/>
      <c r="E64" s="316"/>
      <c r="F64" s="6"/>
    </row>
    <row r="65" spans="2:6">
      <c r="B65" s="316"/>
      <c r="C65" s="316"/>
      <c r="D65" s="316"/>
      <c r="E65" s="316"/>
      <c r="F65" s="6"/>
    </row>
    <row r="66" spans="2:6">
      <c r="B66" s="316"/>
      <c r="C66" s="316"/>
      <c r="D66" s="316"/>
      <c r="E66" s="316"/>
      <c r="F66" s="6"/>
    </row>
    <row r="67" spans="2:6">
      <c r="B67" s="316"/>
      <c r="C67" s="316"/>
      <c r="D67" s="316"/>
      <c r="E67" s="316"/>
      <c r="F67" s="6"/>
    </row>
    <row r="68" spans="2:6">
      <c r="B68" s="316"/>
      <c r="C68" s="316"/>
      <c r="D68" s="316"/>
      <c r="E68" s="316"/>
      <c r="F68" s="6"/>
    </row>
    <row r="69" spans="2:6">
      <c r="B69" s="316"/>
      <c r="C69" s="316"/>
      <c r="D69" s="316"/>
      <c r="E69" s="316"/>
      <c r="F69" s="6"/>
    </row>
    <row r="70" spans="2:6">
      <c r="B70" s="316"/>
      <c r="C70" s="316"/>
      <c r="D70" s="316"/>
      <c r="E70" s="316"/>
      <c r="F70" s="6"/>
    </row>
    <row r="71" spans="2:6">
      <c r="B71" s="316"/>
      <c r="C71" s="316"/>
      <c r="D71" s="316"/>
      <c r="E71" s="316"/>
      <c r="F71" s="6"/>
    </row>
    <row r="72" spans="2:6">
      <c r="B72" s="316"/>
      <c r="C72" s="316"/>
      <c r="D72" s="316"/>
      <c r="E72" s="316"/>
      <c r="F72" s="6"/>
    </row>
    <row r="73" spans="2:6">
      <c r="B73" s="316"/>
      <c r="C73" s="316"/>
      <c r="D73" s="316"/>
      <c r="E73" s="316"/>
      <c r="F73" s="6"/>
    </row>
    <row r="74" spans="2:6">
      <c r="B74" s="316"/>
      <c r="C74" s="316"/>
      <c r="D74" s="316"/>
      <c r="E74" s="316"/>
      <c r="F74" s="6"/>
    </row>
    <row r="75" spans="2:6">
      <c r="B75" s="316"/>
      <c r="C75" s="316"/>
      <c r="D75" s="316"/>
      <c r="E75" s="316"/>
      <c r="F75" s="6"/>
    </row>
    <row r="76" spans="2:6">
      <c r="B76" s="316"/>
      <c r="C76" s="316"/>
      <c r="D76" s="316"/>
      <c r="E76" s="316"/>
      <c r="F76" s="6"/>
    </row>
    <row r="77" spans="2:6">
      <c r="B77" s="316"/>
      <c r="C77" s="316"/>
      <c r="D77" s="316"/>
      <c r="E77" s="316"/>
      <c r="F77" s="6"/>
    </row>
    <row r="78" spans="2:6">
      <c r="B78" s="316"/>
      <c r="C78" s="316"/>
      <c r="D78" s="316"/>
      <c r="E78" s="316"/>
      <c r="F78" s="6"/>
    </row>
    <row r="79" spans="2:6">
      <c r="B79" s="316"/>
      <c r="C79" s="316"/>
      <c r="D79" s="316"/>
      <c r="E79" s="316"/>
      <c r="F79" s="6"/>
    </row>
    <row r="80" spans="2:6">
      <c r="B80" s="316"/>
      <c r="C80" s="316"/>
      <c r="D80" s="316"/>
      <c r="E80" s="316"/>
      <c r="F80" s="6"/>
    </row>
    <row r="81" spans="2:6">
      <c r="B81" s="316"/>
      <c r="C81" s="316"/>
      <c r="D81" s="316"/>
      <c r="E81" s="316"/>
      <c r="F81" s="6"/>
    </row>
    <row r="82" spans="2:6">
      <c r="B82" s="316"/>
      <c r="C82" s="316"/>
      <c r="D82" s="316"/>
      <c r="E82" s="316"/>
      <c r="F82" s="6"/>
    </row>
    <row r="83" spans="2:6">
      <c r="B83" s="316"/>
      <c r="C83" s="316"/>
      <c r="D83" s="316"/>
      <c r="E83" s="316"/>
      <c r="F83" s="6"/>
    </row>
    <row r="84" spans="2:6">
      <c r="B84" s="316"/>
      <c r="C84" s="316"/>
      <c r="D84" s="316"/>
      <c r="E84" s="316"/>
      <c r="F84" s="6"/>
    </row>
    <row r="85" spans="2:6">
      <c r="B85" s="316"/>
      <c r="C85" s="316"/>
      <c r="D85" s="316"/>
      <c r="E85" s="316"/>
      <c r="F85" s="6"/>
    </row>
    <row r="86" spans="2:6">
      <c r="B86" s="316"/>
      <c r="C86" s="316"/>
      <c r="D86" s="316"/>
      <c r="E86" s="316"/>
      <c r="F86" s="6"/>
    </row>
    <row r="87" spans="2:6">
      <c r="B87" s="316"/>
      <c r="C87" s="316"/>
      <c r="D87" s="316"/>
      <c r="E87" s="316"/>
      <c r="F87" s="6"/>
    </row>
    <row r="88" spans="2:6">
      <c r="B88" s="316"/>
      <c r="C88" s="316"/>
      <c r="D88" s="316"/>
      <c r="E88" s="316"/>
      <c r="F88" s="6"/>
    </row>
    <row r="89" spans="2:6">
      <c r="B89" s="316"/>
      <c r="C89" s="316"/>
      <c r="D89" s="316"/>
      <c r="E89" s="316"/>
      <c r="F89" s="6"/>
    </row>
    <row r="90" spans="2:6">
      <c r="B90" s="316"/>
      <c r="C90" s="316"/>
      <c r="D90" s="316"/>
      <c r="E90" s="316"/>
      <c r="F90" s="6"/>
    </row>
    <row r="91" spans="2:6">
      <c r="B91" s="316"/>
      <c r="C91" s="316"/>
      <c r="D91" s="316"/>
      <c r="E91" s="316"/>
      <c r="F91" s="6"/>
    </row>
    <row r="92" spans="2:6">
      <c r="B92" s="316"/>
      <c r="C92" s="316"/>
      <c r="D92" s="316"/>
      <c r="E92" s="316"/>
      <c r="F92" s="6"/>
    </row>
    <row r="93" spans="2:6">
      <c r="B93" s="316"/>
      <c r="C93" s="316"/>
      <c r="D93" s="316"/>
      <c r="E93" s="316"/>
      <c r="F93" s="6"/>
    </row>
    <row r="94" spans="2:6">
      <c r="B94" s="316"/>
      <c r="C94" s="316"/>
      <c r="D94" s="316"/>
      <c r="E94" s="316"/>
      <c r="F94" s="6"/>
    </row>
    <row r="95" spans="2:6">
      <c r="B95" s="316"/>
      <c r="C95" s="316"/>
      <c r="D95" s="316"/>
      <c r="E95" s="316"/>
      <c r="F95" s="6"/>
    </row>
    <row r="96" spans="2:6">
      <c r="B96" s="316"/>
      <c r="C96" s="316"/>
      <c r="D96" s="316"/>
      <c r="E96" s="316"/>
      <c r="F96" s="6"/>
    </row>
    <row r="97" spans="2:6">
      <c r="B97" s="316"/>
      <c r="C97" s="316"/>
      <c r="D97" s="316"/>
      <c r="E97" s="316"/>
      <c r="F97" s="6"/>
    </row>
    <row r="98" spans="2:6">
      <c r="B98" s="316"/>
      <c r="C98" s="316"/>
      <c r="D98" s="316"/>
      <c r="E98" s="316"/>
      <c r="F98" s="6"/>
    </row>
    <row r="99" spans="2:6">
      <c r="B99" s="316"/>
      <c r="C99" s="316"/>
      <c r="D99" s="316"/>
      <c r="E99" s="316"/>
      <c r="F99" s="6"/>
    </row>
    <row r="100" spans="2:6">
      <c r="B100" s="316"/>
      <c r="C100" s="316"/>
      <c r="D100" s="316"/>
      <c r="E100" s="316"/>
      <c r="F100" s="6"/>
    </row>
    <row r="101" spans="2:6">
      <c r="B101" s="316"/>
      <c r="C101" s="316"/>
      <c r="D101" s="316"/>
      <c r="E101" s="316"/>
      <c r="F101" s="6"/>
    </row>
    <row r="102" spans="2:6">
      <c r="B102" s="316"/>
      <c r="C102" s="316"/>
      <c r="D102" s="316"/>
      <c r="E102" s="316"/>
      <c r="F102" s="6"/>
    </row>
    <row r="103" spans="2:6">
      <c r="B103" s="316"/>
      <c r="C103" s="316"/>
      <c r="D103" s="316"/>
      <c r="E103" s="316"/>
      <c r="F103" s="6"/>
    </row>
    <row r="104" spans="2:6">
      <c r="B104" s="316"/>
      <c r="C104" s="316"/>
      <c r="D104" s="316"/>
      <c r="E104" s="316"/>
      <c r="F104" s="6"/>
    </row>
    <row r="105" spans="2:6">
      <c r="B105" s="316"/>
      <c r="C105" s="316"/>
      <c r="D105" s="316"/>
      <c r="E105" s="316"/>
      <c r="F105" s="6"/>
    </row>
    <row r="106" spans="2:6">
      <c r="B106" s="316"/>
      <c r="C106" s="316"/>
      <c r="D106" s="316"/>
      <c r="E106" s="316"/>
      <c r="F106" s="6"/>
    </row>
    <row r="107" spans="2:6">
      <c r="B107" s="316"/>
      <c r="C107" s="316"/>
      <c r="D107" s="316"/>
      <c r="E107" s="316"/>
      <c r="F107" s="6"/>
    </row>
    <row r="108" spans="2:6">
      <c r="B108" s="316"/>
      <c r="C108" s="316"/>
      <c r="D108" s="316"/>
      <c r="E108" s="316"/>
      <c r="F108" s="6"/>
    </row>
    <row r="109" spans="2:6">
      <c r="B109" s="316"/>
      <c r="C109" s="316"/>
      <c r="D109" s="316"/>
      <c r="E109" s="316"/>
      <c r="F109" s="6"/>
    </row>
    <row r="110" spans="2:6">
      <c r="B110" s="316"/>
      <c r="C110" s="316"/>
      <c r="D110" s="316"/>
      <c r="E110" s="316"/>
      <c r="F110" s="6"/>
    </row>
    <row r="111" spans="2:6">
      <c r="B111" s="316"/>
      <c r="C111" s="316"/>
      <c r="D111" s="316"/>
      <c r="E111" s="316"/>
      <c r="F111" s="6"/>
    </row>
    <row r="112" spans="2:6">
      <c r="B112" s="316"/>
      <c r="C112" s="316"/>
      <c r="D112" s="316"/>
      <c r="E112" s="316"/>
      <c r="F112" s="6"/>
    </row>
    <row r="113" spans="2:6">
      <c r="B113" s="316"/>
      <c r="C113" s="316"/>
      <c r="D113" s="316"/>
      <c r="E113" s="316"/>
      <c r="F113" s="6"/>
    </row>
    <row r="114" spans="2:6">
      <c r="B114" s="316"/>
      <c r="C114" s="316"/>
      <c r="D114" s="316"/>
      <c r="E114" s="316"/>
      <c r="F114" s="6"/>
    </row>
    <row r="115" spans="2:6">
      <c r="B115" s="316"/>
      <c r="C115" s="316"/>
      <c r="D115" s="316"/>
      <c r="E115" s="316"/>
      <c r="F115" s="6"/>
    </row>
    <row r="116" spans="2:6">
      <c r="B116" s="316"/>
      <c r="C116" s="316"/>
      <c r="D116" s="316"/>
      <c r="E116" s="316"/>
      <c r="F116" s="6"/>
    </row>
    <row r="117" spans="2:6">
      <c r="B117" s="316"/>
      <c r="C117" s="316"/>
      <c r="D117" s="316"/>
      <c r="E117" s="316"/>
      <c r="F117" s="6"/>
    </row>
    <row r="118" spans="2:6">
      <c r="B118" s="316"/>
      <c r="C118" s="316"/>
      <c r="D118" s="316"/>
      <c r="E118" s="316"/>
      <c r="F118" s="6"/>
    </row>
    <row r="119" spans="2:6">
      <c r="B119" s="316"/>
      <c r="C119" s="316"/>
      <c r="D119" s="316"/>
      <c r="E119" s="316"/>
      <c r="F119" s="6"/>
    </row>
    <row r="120" spans="2:6">
      <c r="B120" s="316"/>
      <c r="C120" s="316"/>
      <c r="D120" s="316"/>
      <c r="E120" s="316"/>
      <c r="F120" s="6"/>
    </row>
    <row r="121" spans="2:6">
      <c r="B121" s="316"/>
      <c r="C121" s="316"/>
      <c r="D121" s="316"/>
      <c r="E121" s="316"/>
      <c r="F121" s="6"/>
    </row>
    <row r="122" spans="2:6">
      <c r="B122" s="316"/>
      <c r="C122" s="316"/>
      <c r="D122" s="316"/>
      <c r="E122" s="316"/>
      <c r="F122" s="6"/>
    </row>
    <row r="123" spans="2:6">
      <c r="B123" s="316"/>
      <c r="C123" s="316"/>
      <c r="D123" s="316"/>
      <c r="E123" s="316"/>
      <c r="F123" s="6"/>
    </row>
    <row r="124" spans="2:6">
      <c r="B124" s="316"/>
      <c r="C124" s="316"/>
      <c r="D124" s="316"/>
      <c r="E124" s="316"/>
      <c r="F124" s="6"/>
    </row>
    <row r="125" spans="2:6">
      <c r="B125" s="316"/>
      <c r="C125" s="316"/>
      <c r="D125" s="316"/>
      <c r="E125" s="316"/>
      <c r="F125" s="6"/>
    </row>
    <row r="126" spans="2:6">
      <c r="B126" s="316"/>
      <c r="C126" s="316"/>
      <c r="D126" s="316"/>
      <c r="E126" s="316"/>
      <c r="F126" s="6"/>
    </row>
    <row r="127" spans="2:6">
      <c r="B127" s="117"/>
      <c r="C127" s="117"/>
      <c r="D127" s="117"/>
      <c r="E127" s="117"/>
      <c r="F127" s="111"/>
    </row>
    <row r="128" spans="2:6">
      <c r="B128" s="117"/>
      <c r="C128" s="117"/>
      <c r="D128" s="117"/>
      <c r="E128" s="117"/>
      <c r="F128" s="111"/>
    </row>
    <row r="129" spans="2:6">
      <c r="B129" s="117"/>
      <c r="C129" s="117"/>
      <c r="D129" s="117"/>
      <c r="E129" s="117"/>
      <c r="F129" s="111"/>
    </row>
    <row r="130" spans="2:6">
      <c r="B130" s="117"/>
      <c r="C130" s="117"/>
      <c r="D130" s="117"/>
      <c r="E130" s="117"/>
      <c r="F130" s="111"/>
    </row>
    <row r="131" spans="2:6">
      <c r="B131" s="117"/>
      <c r="C131" s="117"/>
      <c r="D131" s="117"/>
      <c r="E131" s="117"/>
      <c r="F131" s="111"/>
    </row>
    <row r="132" spans="2:6">
      <c r="B132" s="117"/>
      <c r="C132" s="117"/>
      <c r="D132" s="117"/>
      <c r="E132" s="117"/>
      <c r="F132" s="111"/>
    </row>
    <row r="133" spans="2:6">
      <c r="B133" s="117"/>
      <c r="C133" s="117"/>
      <c r="D133" s="117"/>
      <c r="E133" s="117"/>
      <c r="F133" s="111"/>
    </row>
    <row r="134" spans="2:6">
      <c r="B134" s="117"/>
      <c r="C134" s="117"/>
      <c r="D134" s="117"/>
      <c r="E134" s="117"/>
      <c r="F134" s="111"/>
    </row>
    <row r="135" spans="2:6">
      <c r="B135" s="117"/>
      <c r="C135" s="117"/>
      <c r="D135" s="117"/>
      <c r="E135" s="117"/>
      <c r="F135" s="111"/>
    </row>
    <row r="136" spans="2:6">
      <c r="B136" s="117"/>
      <c r="C136" s="117"/>
      <c r="D136" s="117"/>
      <c r="E136" s="117"/>
      <c r="F136" s="111"/>
    </row>
    <row r="137" spans="2:6">
      <c r="B137" s="117"/>
      <c r="C137" s="117"/>
      <c r="D137" s="117"/>
      <c r="E137" s="117"/>
      <c r="F137" s="111"/>
    </row>
    <row r="138" spans="2:6">
      <c r="B138" s="117"/>
      <c r="C138" s="117"/>
      <c r="D138" s="117"/>
      <c r="E138" s="117"/>
      <c r="F138" s="111"/>
    </row>
    <row r="139" spans="2:6">
      <c r="B139" s="117"/>
      <c r="C139" s="117"/>
      <c r="D139" s="117"/>
      <c r="E139" s="117"/>
      <c r="F139" s="111"/>
    </row>
    <row r="140" spans="2:6">
      <c r="B140" s="117"/>
      <c r="C140" s="117"/>
      <c r="D140" s="117"/>
      <c r="E140" s="117"/>
      <c r="F140" s="111"/>
    </row>
    <row r="141" spans="2:6">
      <c r="B141" s="117"/>
      <c r="C141" s="117"/>
      <c r="D141" s="117"/>
      <c r="E141" s="117"/>
      <c r="F141" s="111"/>
    </row>
    <row r="142" spans="2:6">
      <c r="B142" s="117"/>
      <c r="C142" s="117"/>
      <c r="D142" s="117"/>
      <c r="E142" s="117"/>
      <c r="F142" s="111"/>
    </row>
    <row r="143" spans="2:6">
      <c r="B143" s="117"/>
      <c r="C143" s="117"/>
      <c r="D143" s="117"/>
      <c r="E143" s="117"/>
      <c r="F143" s="111"/>
    </row>
    <row r="144" spans="2:6">
      <c r="B144" s="117"/>
      <c r="C144" s="117"/>
      <c r="D144" s="117"/>
      <c r="E144" s="117"/>
      <c r="F144" s="111"/>
    </row>
    <row r="145" spans="2:6">
      <c r="B145" s="117"/>
      <c r="C145" s="117"/>
      <c r="D145" s="117"/>
      <c r="E145" s="117"/>
      <c r="F145" s="111"/>
    </row>
    <row r="146" spans="2:6">
      <c r="B146" s="117"/>
      <c r="C146" s="117"/>
      <c r="D146" s="117"/>
      <c r="E146" s="117"/>
      <c r="F146" s="111"/>
    </row>
    <row r="147" spans="2:6">
      <c r="B147" s="117"/>
      <c r="C147" s="117"/>
      <c r="D147" s="117"/>
      <c r="E147" s="117"/>
      <c r="F147" s="111"/>
    </row>
    <row r="148" spans="2:6">
      <c r="B148" s="117"/>
      <c r="C148" s="117"/>
      <c r="D148" s="117"/>
      <c r="E148" s="117"/>
      <c r="F148" s="111"/>
    </row>
    <row r="149" spans="2:6">
      <c r="B149" s="117"/>
      <c r="C149" s="117"/>
      <c r="D149" s="117"/>
      <c r="E149" s="117"/>
      <c r="F149" s="111"/>
    </row>
    <row r="150" spans="2:6">
      <c r="B150" s="117"/>
      <c r="C150" s="117"/>
      <c r="D150" s="117"/>
      <c r="E150" s="117"/>
      <c r="F150" s="111"/>
    </row>
    <row r="151" spans="2:6">
      <c r="B151" s="117"/>
      <c r="C151" s="117"/>
      <c r="D151" s="117"/>
      <c r="E151" s="117"/>
      <c r="F151" s="111"/>
    </row>
    <row r="152" spans="2:6">
      <c r="B152" s="117"/>
      <c r="C152" s="117"/>
      <c r="D152" s="117"/>
      <c r="E152" s="117"/>
      <c r="F152" s="111"/>
    </row>
    <row r="153" spans="2:6">
      <c r="B153" s="117"/>
      <c r="C153" s="117"/>
      <c r="D153" s="117"/>
      <c r="E153" s="117"/>
      <c r="F153" s="111"/>
    </row>
    <row r="154" spans="2:6">
      <c r="B154" s="117"/>
      <c r="C154" s="117"/>
      <c r="D154" s="117"/>
      <c r="E154" s="117"/>
      <c r="F154" s="111"/>
    </row>
    <row r="155" spans="2:6">
      <c r="B155" s="117"/>
      <c r="C155" s="117"/>
      <c r="D155" s="117"/>
      <c r="E155" s="117"/>
      <c r="F155" s="111"/>
    </row>
    <row r="156" spans="2:6">
      <c r="B156" s="117"/>
      <c r="C156" s="117"/>
      <c r="D156" s="117"/>
      <c r="E156" s="117"/>
      <c r="F156" s="111"/>
    </row>
    <row r="157" spans="2:6">
      <c r="B157" s="117"/>
      <c r="C157" s="117"/>
      <c r="D157" s="117"/>
      <c r="E157" s="117"/>
      <c r="F157" s="111"/>
    </row>
    <row r="158" spans="2:6">
      <c r="B158" s="117"/>
      <c r="C158" s="117"/>
      <c r="D158" s="117"/>
      <c r="E158" s="117"/>
      <c r="F158" s="111"/>
    </row>
    <row r="159" spans="2:6">
      <c r="B159" s="117"/>
      <c r="C159" s="117"/>
      <c r="D159" s="117"/>
      <c r="E159" s="117"/>
      <c r="F159" s="111"/>
    </row>
    <row r="160" spans="2:6">
      <c r="B160" s="117"/>
      <c r="C160" s="117"/>
      <c r="D160" s="117"/>
      <c r="E160" s="117"/>
      <c r="F160" s="111"/>
    </row>
    <row r="161" spans="2:6">
      <c r="B161" s="117"/>
      <c r="C161" s="117"/>
      <c r="D161" s="117"/>
      <c r="E161" s="117"/>
      <c r="F161" s="111"/>
    </row>
    <row r="162" spans="2:6">
      <c r="B162" s="117"/>
      <c r="C162" s="117"/>
      <c r="D162" s="117"/>
      <c r="E162" s="117"/>
      <c r="F162" s="111"/>
    </row>
    <row r="163" spans="2:6">
      <c r="F163" s="111"/>
    </row>
    <row r="164" spans="2:6">
      <c r="F164" s="111"/>
    </row>
    <row r="165" spans="2:6">
      <c r="F165" s="111"/>
    </row>
    <row r="166" spans="2:6">
      <c r="B166" s="117"/>
      <c r="C166" s="117"/>
      <c r="D166" s="117"/>
      <c r="E166" s="117"/>
      <c r="F166" s="111"/>
    </row>
    <row r="167" spans="2:6">
      <c r="B167" s="117"/>
      <c r="C167" s="117"/>
      <c r="D167" s="117"/>
      <c r="E167" s="117"/>
      <c r="F167" s="111"/>
    </row>
    <row r="168" spans="2:6">
      <c r="B168" s="117"/>
      <c r="C168" s="117"/>
      <c r="D168" s="117"/>
      <c r="E168" s="117"/>
      <c r="F168" s="111"/>
    </row>
    <row r="169" spans="2:6">
      <c r="B169" s="117"/>
      <c r="C169" s="117"/>
      <c r="D169" s="117"/>
      <c r="E169" s="117"/>
      <c r="F169" s="111"/>
    </row>
    <row r="170" spans="2:6">
      <c r="B170" s="117"/>
      <c r="C170" s="117"/>
      <c r="D170" s="117"/>
      <c r="E170" s="117"/>
      <c r="F170" s="111"/>
    </row>
    <row r="171" spans="2:6">
      <c r="B171" s="117"/>
      <c r="C171" s="117"/>
      <c r="D171" s="117"/>
      <c r="E171" s="117"/>
      <c r="F171" s="111"/>
    </row>
    <row r="172" spans="2:6">
      <c r="B172" s="117"/>
      <c r="C172" s="117"/>
      <c r="D172" s="117"/>
      <c r="E172" s="117"/>
      <c r="F172" s="111"/>
    </row>
    <row r="173" spans="2:6">
      <c r="B173" s="117"/>
      <c r="C173" s="117"/>
      <c r="D173" s="117"/>
      <c r="E173" s="117"/>
      <c r="F173" s="111"/>
    </row>
    <row r="174" spans="2:6">
      <c r="B174" s="117"/>
      <c r="C174" s="117"/>
      <c r="D174" s="117"/>
      <c r="E174" s="117"/>
      <c r="F174" s="111"/>
    </row>
    <row r="175" spans="2:6">
      <c r="B175" s="117"/>
      <c r="C175" s="117"/>
      <c r="D175" s="117"/>
      <c r="E175" s="117"/>
      <c r="F175" s="111"/>
    </row>
    <row r="176" spans="2:6">
      <c r="B176" s="117"/>
      <c r="C176" s="117"/>
      <c r="D176" s="117"/>
      <c r="E176" s="117"/>
      <c r="F176" s="111"/>
    </row>
    <row r="177" spans="2:6">
      <c r="B177" s="117"/>
      <c r="C177" s="117"/>
      <c r="D177" s="117"/>
      <c r="E177" s="117"/>
      <c r="F177" s="111"/>
    </row>
    <row r="178" spans="2:6">
      <c r="B178" s="117"/>
      <c r="C178" s="117"/>
      <c r="D178" s="117"/>
      <c r="E178" s="117"/>
      <c r="F178" s="111"/>
    </row>
    <row r="179" spans="2:6">
      <c r="B179" s="117"/>
      <c r="C179" s="117"/>
      <c r="D179" s="117"/>
      <c r="E179" s="117"/>
      <c r="F179" s="111"/>
    </row>
    <row r="180" spans="2:6">
      <c r="B180" s="117"/>
      <c r="C180" s="117"/>
      <c r="D180" s="117"/>
      <c r="E180" s="117"/>
      <c r="F180" s="111"/>
    </row>
    <row r="181" spans="2:6">
      <c r="B181" s="117"/>
      <c r="C181" s="117"/>
      <c r="D181" s="117"/>
      <c r="E181" s="117"/>
      <c r="F181" s="111"/>
    </row>
    <row r="182" spans="2:6">
      <c r="B182" s="117"/>
      <c r="C182" s="117"/>
      <c r="D182" s="117"/>
      <c r="E182" s="117"/>
      <c r="F182" s="111"/>
    </row>
    <row r="183" spans="2:6">
      <c r="B183" s="117"/>
      <c r="C183" s="117"/>
      <c r="D183" s="117"/>
      <c r="E183" s="117"/>
      <c r="F183" s="111"/>
    </row>
    <row r="184" spans="2:6">
      <c r="B184" s="117"/>
      <c r="C184" s="117"/>
      <c r="D184" s="117"/>
      <c r="E184" s="117"/>
      <c r="F184" s="111"/>
    </row>
    <row r="185" spans="2:6">
      <c r="B185" s="117"/>
      <c r="C185" s="117"/>
      <c r="D185" s="117"/>
      <c r="E185" s="117"/>
      <c r="F185" s="111"/>
    </row>
    <row r="186" spans="2:6">
      <c r="B186" s="117"/>
      <c r="C186" s="117"/>
      <c r="D186" s="117"/>
      <c r="E186" s="117"/>
      <c r="F186" s="111"/>
    </row>
    <row r="187" spans="2:6">
      <c r="B187" s="117"/>
      <c r="C187" s="117"/>
      <c r="D187" s="117"/>
      <c r="E187" s="117"/>
      <c r="F187" s="111"/>
    </row>
    <row r="188" spans="2:6">
      <c r="B188" s="117"/>
      <c r="C188" s="117"/>
      <c r="D188" s="117"/>
      <c r="E188" s="117"/>
      <c r="F188" s="111"/>
    </row>
    <row r="189" spans="2:6">
      <c r="B189" s="117"/>
      <c r="C189" s="117"/>
      <c r="D189" s="117"/>
      <c r="E189" s="117"/>
      <c r="F189" s="111"/>
    </row>
    <row r="190" spans="2:6">
      <c r="B190" s="117"/>
      <c r="C190" s="117"/>
      <c r="D190" s="117"/>
      <c r="E190" s="117"/>
      <c r="F190" s="111"/>
    </row>
    <row r="191" spans="2:6">
      <c r="B191" s="117"/>
      <c r="C191" s="117"/>
      <c r="D191" s="117"/>
      <c r="E191" s="117"/>
      <c r="F191" s="111"/>
    </row>
    <row r="192" spans="2:6">
      <c r="B192" s="117"/>
      <c r="C192" s="117"/>
      <c r="D192" s="117"/>
      <c r="E192" s="117"/>
      <c r="F192" s="111"/>
    </row>
    <row r="193" spans="2:6">
      <c r="B193" s="117"/>
      <c r="C193" s="117"/>
      <c r="D193" s="117"/>
      <c r="E193" s="117"/>
      <c r="F193" s="111"/>
    </row>
    <row r="194" spans="2:6">
      <c r="B194" s="117"/>
      <c r="C194" s="117"/>
      <c r="D194" s="117"/>
      <c r="E194" s="117"/>
      <c r="F194" s="111"/>
    </row>
    <row r="195" spans="2:6">
      <c r="B195" s="117"/>
      <c r="C195" s="117"/>
      <c r="D195" s="117"/>
      <c r="E195" s="117"/>
      <c r="F195" s="111"/>
    </row>
    <row r="196" spans="2:6">
      <c r="B196" s="117"/>
      <c r="C196" s="117"/>
      <c r="D196" s="117"/>
      <c r="E196" s="117"/>
      <c r="F196" s="111"/>
    </row>
    <row r="197" spans="2:6">
      <c r="B197" s="117"/>
      <c r="C197" s="117"/>
      <c r="D197" s="117"/>
      <c r="E197" s="117"/>
      <c r="F197" s="111"/>
    </row>
    <row r="198" spans="2:6">
      <c r="B198" s="117"/>
      <c r="C198" s="117"/>
      <c r="D198" s="117"/>
      <c r="E198" s="117"/>
      <c r="F198" s="111"/>
    </row>
    <row r="199" spans="2:6">
      <c r="B199" s="117"/>
      <c r="C199" s="117"/>
      <c r="D199" s="117"/>
      <c r="E199" s="117"/>
      <c r="F199" s="111"/>
    </row>
    <row r="200" spans="2:6">
      <c r="B200" s="117"/>
      <c r="C200" s="117"/>
      <c r="D200" s="117"/>
      <c r="E200" s="117"/>
      <c r="F200" s="111"/>
    </row>
    <row r="201" spans="2:6">
      <c r="B201" s="117"/>
      <c r="C201" s="117"/>
      <c r="D201" s="117"/>
      <c r="E201" s="117"/>
      <c r="F201" s="111"/>
    </row>
    <row r="202" spans="2:6">
      <c r="B202" s="117"/>
      <c r="C202" s="117"/>
      <c r="D202" s="117"/>
      <c r="E202" s="117"/>
      <c r="F202" s="111"/>
    </row>
    <row r="203" spans="2:6">
      <c r="B203" s="117"/>
      <c r="C203" s="117"/>
      <c r="D203" s="117"/>
      <c r="E203" s="117"/>
      <c r="F203" s="111"/>
    </row>
    <row r="204" spans="2:6">
      <c r="B204" s="117"/>
      <c r="C204" s="117"/>
      <c r="D204" s="117"/>
      <c r="E204" s="117"/>
      <c r="F204" s="111"/>
    </row>
    <row r="205" spans="2:6">
      <c r="B205" s="117"/>
      <c r="C205" s="117"/>
      <c r="D205" s="117"/>
      <c r="E205" s="117"/>
      <c r="F205" s="111"/>
    </row>
    <row r="206" spans="2:6">
      <c r="B206" s="117"/>
      <c r="C206" s="117"/>
      <c r="D206" s="117"/>
      <c r="E206" s="117"/>
      <c r="F206" s="111"/>
    </row>
    <row r="207" spans="2:6">
      <c r="B207" s="117"/>
      <c r="C207" s="117"/>
      <c r="D207" s="117"/>
      <c r="E207" s="117"/>
      <c r="F207" s="111"/>
    </row>
    <row r="208" spans="2:6">
      <c r="B208" s="117"/>
      <c r="C208" s="117"/>
      <c r="D208" s="117"/>
      <c r="E208" s="117"/>
      <c r="F208" s="111"/>
    </row>
    <row r="209" spans="2:6">
      <c r="B209" s="117"/>
      <c r="C209" s="117"/>
      <c r="D209" s="117"/>
      <c r="E209" s="117"/>
      <c r="F209" s="111"/>
    </row>
    <row r="210" spans="2:6">
      <c r="B210" s="117"/>
      <c r="C210" s="117"/>
      <c r="D210" s="117"/>
      <c r="E210" s="117"/>
      <c r="F210" s="111"/>
    </row>
    <row r="211" spans="2:6">
      <c r="B211" s="117"/>
      <c r="C211" s="117"/>
      <c r="D211" s="117"/>
      <c r="E211" s="117"/>
      <c r="F211" s="111"/>
    </row>
    <row r="212" spans="2:6">
      <c r="B212" s="117"/>
      <c r="C212" s="117"/>
      <c r="D212" s="117"/>
      <c r="E212" s="117"/>
      <c r="F212" s="111"/>
    </row>
    <row r="213" spans="2:6">
      <c r="B213" s="117"/>
      <c r="C213" s="117"/>
      <c r="D213" s="117"/>
      <c r="E213" s="117"/>
      <c r="F213" s="111"/>
    </row>
    <row r="214" spans="2:6">
      <c r="B214" s="117"/>
      <c r="C214" s="117"/>
      <c r="D214" s="117"/>
      <c r="E214" s="117"/>
      <c r="F214" s="111"/>
    </row>
    <row r="215" spans="2:6">
      <c r="B215" s="117"/>
      <c r="C215" s="117"/>
      <c r="D215" s="117"/>
      <c r="E215" s="117"/>
      <c r="F215" s="111"/>
    </row>
    <row r="216" spans="2:6">
      <c r="B216" s="117"/>
      <c r="C216" s="117"/>
      <c r="D216" s="117"/>
      <c r="E216" s="117"/>
      <c r="F216" s="111"/>
    </row>
    <row r="217" spans="2:6">
      <c r="B217" s="117"/>
      <c r="C217" s="117"/>
      <c r="D217" s="117"/>
      <c r="E217" s="117"/>
      <c r="F217" s="111"/>
    </row>
    <row r="218" spans="2:6">
      <c r="B218" s="117"/>
      <c r="C218" s="117"/>
      <c r="D218" s="117"/>
      <c r="E218" s="117"/>
      <c r="F218" s="111"/>
    </row>
    <row r="219" spans="2:6">
      <c r="B219" s="117"/>
      <c r="C219" s="117"/>
      <c r="D219" s="117"/>
      <c r="E219" s="117"/>
      <c r="F219" s="111"/>
    </row>
    <row r="220" spans="2:6">
      <c r="B220" s="117"/>
      <c r="C220" s="117"/>
      <c r="D220" s="117"/>
      <c r="E220" s="117"/>
      <c r="F220" s="111"/>
    </row>
    <row r="221" spans="2:6">
      <c r="B221" s="117"/>
      <c r="C221" s="117"/>
      <c r="D221" s="117"/>
      <c r="E221" s="117"/>
      <c r="F221" s="111"/>
    </row>
    <row r="222" spans="2:6">
      <c r="B222" s="117"/>
      <c r="C222" s="117"/>
      <c r="D222" s="117"/>
      <c r="E222" s="117"/>
      <c r="F222" s="111"/>
    </row>
    <row r="223" spans="2:6">
      <c r="B223" s="117"/>
      <c r="C223" s="117"/>
      <c r="D223" s="117"/>
      <c r="E223" s="117"/>
      <c r="F223" s="111"/>
    </row>
    <row r="224" spans="2:6">
      <c r="B224" s="117"/>
      <c r="C224" s="117"/>
      <c r="D224" s="117"/>
      <c r="E224" s="117"/>
      <c r="F224" s="111"/>
    </row>
    <row r="225" spans="2:6">
      <c r="B225" s="117"/>
      <c r="C225" s="117"/>
      <c r="D225" s="117"/>
      <c r="E225" s="117"/>
      <c r="F225" s="111"/>
    </row>
    <row r="226" spans="2:6">
      <c r="B226" s="117"/>
      <c r="C226" s="117"/>
      <c r="D226" s="117"/>
      <c r="E226" s="117"/>
      <c r="F226" s="111"/>
    </row>
    <row r="227" spans="2:6">
      <c r="B227" s="117"/>
      <c r="C227" s="117"/>
      <c r="D227" s="117"/>
      <c r="E227" s="117"/>
      <c r="F227" s="111"/>
    </row>
    <row r="228" spans="2:6">
      <c r="B228" s="117"/>
      <c r="C228" s="117"/>
      <c r="D228" s="117"/>
      <c r="E228" s="117"/>
      <c r="F228" s="111"/>
    </row>
    <row r="229" spans="2:6">
      <c r="B229" s="117"/>
      <c r="C229" s="117"/>
      <c r="D229" s="117"/>
      <c r="E229" s="117"/>
      <c r="F229" s="111"/>
    </row>
    <row r="230" spans="2:6">
      <c r="B230" s="117"/>
      <c r="C230" s="117"/>
      <c r="D230" s="117"/>
      <c r="E230" s="117"/>
      <c r="F230" s="111"/>
    </row>
    <row r="231" spans="2:6">
      <c r="B231" s="117"/>
      <c r="C231" s="117"/>
      <c r="D231" s="117"/>
      <c r="E231" s="117"/>
      <c r="F231" s="111"/>
    </row>
    <row r="232" spans="2:6">
      <c r="B232" s="117"/>
      <c r="C232" s="117"/>
      <c r="D232" s="117"/>
      <c r="E232" s="117"/>
      <c r="F232" s="111"/>
    </row>
    <row r="233" spans="2:6">
      <c r="B233" s="117"/>
      <c r="C233" s="117"/>
      <c r="D233" s="117"/>
      <c r="E233" s="117"/>
      <c r="F233" s="111"/>
    </row>
    <row r="234" spans="2:6">
      <c r="B234" s="117"/>
      <c r="C234" s="117"/>
      <c r="D234" s="117"/>
      <c r="E234" s="117"/>
      <c r="F234" s="111"/>
    </row>
    <row r="235" spans="2:6">
      <c r="B235" s="117"/>
      <c r="C235" s="117"/>
      <c r="D235" s="117"/>
      <c r="E235" s="117"/>
      <c r="F235" s="111"/>
    </row>
    <row r="236" spans="2:6">
      <c r="B236" s="117"/>
      <c r="C236" s="117"/>
      <c r="D236" s="117"/>
      <c r="E236" s="117"/>
      <c r="F236" s="111"/>
    </row>
    <row r="237" spans="2:6">
      <c r="B237" s="117"/>
      <c r="C237" s="117"/>
      <c r="D237" s="117"/>
      <c r="E237" s="117"/>
      <c r="F237" s="111"/>
    </row>
    <row r="238" spans="2:6">
      <c r="B238" s="117"/>
      <c r="C238" s="117"/>
      <c r="D238" s="117"/>
      <c r="E238" s="117"/>
      <c r="F238" s="111"/>
    </row>
    <row r="239" spans="2:6">
      <c r="B239" s="117"/>
      <c r="C239" s="117"/>
      <c r="D239" s="117"/>
      <c r="E239" s="117"/>
      <c r="F239" s="111"/>
    </row>
    <row r="240" spans="2:6">
      <c r="B240" s="117"/>
      <c r="C240" s="117"/>
      <c r="D240" s="117"/>
      <c r="E240" s="117"/>
      <c r="F240" s="111"/>
    </row>
    <row r="241" spans="2:6">
      <c r="B241" s="117"/>
      <c r="C241" s="117"/>
      <c r="D241" s="117"/>
      <c r="E241" s="117"/>
      <c r="F241" s="111"/>
    </row>
    <row r="242" spans="2:6">
      <c r="B242" s="117"/>
      <c r="C242" s="117"/>
      <c r="D242" s="117"/>
      <c r="E242" s="117"/>
      <c r="F242" s="111"/>
    </row>
    <row r="243" spans="2:6">
      <c r="B243" s="117"/>
      <c r="C243" s="117"/>
      <c r="D243" s="117"/>
      <c r="E243" s="117"/>
      <c r="F243" s="111"/>
    </row>
    <row r="244" spans="2:6">
      <c r="B244" s="117"/>
      <c r="C244" s="117"/>
      <c r="D244" s="117"/>
      <c r="E244" s="117"/>
      <c r="F244" s="111"/>
    </row>
    <row r="245" spans="2:6">
      <c r="B245" s="117"/>
      <c r="C245" s="117"/>
      <c r="D245" s="117"/>
      <c r="E245" s="117"/>
      <c r="F245" s="111"/>
    </row>
    <row r="246" spans="2:6">
      <c r="B246" s="117"/>
      <c r="C246" s="117"/>
      <c r="D246" s="117"/>
      <c r="E246" s="117"/>
      <c r="F246" s="111"/>
    </row>
    <row r="247" spans="2:6">
      <c r="B247" s="117"/>
      <c r="C247" s="117"/>
      <c r="D247" s="117"/>
      <c r="E247" s="117"/>
      <c r="F247" s="111"/>
    </row>
    <row r="248" spans="2:6">
      <c r="B248" s="117"/>
      <c r="C248" s="117"/>
      <c r="D248" s="117"/>
      <c r="E248" s="117"/>
      <c r="F248" s="111"/>
    </row>
    <row r="249" spans="2:6">
      <c r="B249" s="117"/>
      <c r="C249" s="117"/>
      <c r="D249" s="117"/>
      <c r="E249" s="117"/>
      <c r="F249" s="111"/>
    </row>
    <row r="250" spans="2:6">
      <c r="B250" s="117"/>
      <c r="C250" s="117"/>
      <c r="D250" s="117"/>
      <c r="E250" s="117"/>
      <c r="F250" s="111"/>
    </row>
    <row r="251" spans="2:6">
      <c r="B251" s="117"/>
      <c r="C251" s="117"/>
      <c r="D251" s="117"/>
      <c r="E251" s="117"/>
      <c r="F251" s="111"/>
    </row>
    <row r="252" spans="2:6">
      <c r="B252" s="117"/>
      <c r="C252" s="117"/>
      <c r="D252" s="117"/>
      <c r="E252" s="117"/>
      <c r="F252" s="111"/>
    </row>
    <row r="253" spans="2:6">
      <c r="B253" s="117"/>
      <c r="C253" s="117"/>
      <c r="D253" s="117"/>
      <c r="E253" s="117"/>
      <c r="F253" s="111"/>
    </row>
    <row r="254" spans="2:6">
      <c r="B254" s="117"/>
      <c r="C254" s="117"/>
      <c r="D254" s="117"/>
      <c r="E254" s="117"/>
      <c r="F254" s="111"/>
    </row>
    <row r="255" spans="2:6">
      <c r="B255" s="117"/>
      <c r="C255" s="117"/>
      <c r="D255" s="117"/>
      <c r="E255" s="117"/>
      <c r="F255" s="111"/>
    </row>
    <row r="256" spans="2:6">
      <c r="B256" s="117"/>
      <c r="C256" s="117"/>
      <c r="D256" s="117"/>
      <c r="E256" s="117"/>
      <c r="F256" s="111"/>
    </row>
    <row r="257" spans="2:6">
      <c r="B257" s="117"/>
      <c r="C257" s="117"/>
      <c r="D257" s="117"/>
      <c r="E257" s="117"/>
      <c r="F257" s="111"/>
    </row>
    <row r="258" spans="2:6">
      <c r="B258" s="117"/>
      <c r="C258" s="117"/>
      <c r="D258" s="117"/>
      <c r="E258" s="117"/>
      <c r="F258" s="111"/>
    </row>
    <row r="259" spans="2:6">
      <c r="B259" s="117"/>
      <c r="C259" s="117"/>
      <c r="D259" s="117"/>
      <c r="E259" s="117"/>
      <c r="F259" s="111"/>
    </row>
    <row r="260" spans="2:6">
      <c r="B260" s="117"/>
      <c r="C260" s="117"/>
      <c r="D260" s="117"/>
      <c r="E260" s="117"/>
      <c r="F260" s="111"/>
    </row>
    <row r="261" spans="2:6">
      <c r="B261" s="117"/>
      <c r="C261" s="117"/>
      <c r="D261" s="117"/>
      <c r="E261" s="117"/>
      <c r="F261" s="111"/>
    </row>
    <row r="262" spans="2:6">
      <c r="B262" s="117"/>
      <c r="C262" s="117"/>
      <c r="D262" s="117"/>
      <c r="E262" s="117"/>
      <c r="F262" s="111"/>
    </row>
    <row r="263" spans="2:6">
      <c r="B263" s="117"/>
      <c r="C263" s="117"/>
      <c r="D263" s="117"/>
      <c r="E263" s="117"/>
      <c r="F263" s="111"/>
    </row>
    <row r="264" spans="2:6">
      <c r="B264" s="117"/>
      <c r="C264" s="117"/>
      <c r="D264" s="117"/>
      <c r="E264" s="117"/>
      <c r="F264" s="111"/>
    </row>
    <row r="265" spans="2:6">
      <c r="B265" s="117"/>
      <c r="C265" s="117"/>
      <c r="D265" s="117"/>
      <c r="E265" s="117"/>
      <c r="F265" s="111"/>
    </row>
    <row r="266" spans="2:6">
      <c r="B266" s="117"/>
      <c r="C266" s="117"/>
      <c r="D266" s="117"/>
      <c r="E266" s="117"/>
      <c r="F266" s="111"/>
    </row>
    <row r="267" spans="2:6">
      <c r="B267" s="117"/>
      <c r="C267" s="117"/>
      <c r="D267" s="117"/>
      <c r="E267" s="117"/>
      <c r="F267" s="111"/>
    </row>
    <row r="268" spans="2:6">
      <c r="B268" s="117"/>
      <c r="C268" s="117"/>
      <c r="D268" s="117"/>
      <c r="E268" s="117"/>
      <c r="F268" s="111"/>
    </row>
    <row r="269" spans="2:6">
      <c r="B269" s="117"/>
      <c r="C269" s="117"/>
      <c r="D269" s="117"/>
      <c r="E269" s="117"/>
      <c r="F269" s="111"/>
    </row>
    <row r="270" spans="2:6">
      <c r="B270" s="117"/>
      <c r="C270" s="117"/>
      <c r="D270" s="117"/>
      <c r="E270" s="117"/>
      <c r="F270" s="111"/>
    </row>
    <row r="271" spans="2:6">
      <c r="B271" s="117"/>
      <c r="C271" s="117"/>
      <c r="D271" s="117"/>
      <c r="E271" s="117"/>
      <c r="F271" s="111"/>
    </row>
    <row r="272" spans="2:6">
      <c r="B272" s="117"/>
      <c r="C272" s="117"/>
      <c r="D272" s="117"/>
      <c r="E272" s="117"/>
      <c r="F272" s="111"/>
    </row>
    <row r="273" spans="2:6" hidden="1">
      <c r="B273" s="117"/>
      <c r="C273" s="117"/>
      <c r="D273" s="117"/>
      <c r="E273" s="117"/>
      <c r="F273" s="111"/>
    </row>
    <row r="274" spans="2:6" hidden="1">
      <c r="B274" s="117"/>
      <c r="C274" s="117"/>
      <c r="D274" s="117"/>
      <c r="E274" s="117"/>
      <c r="F274" s="111"/>
    </row>
    <row r="275" spans="2:6" hidden="1">
      <c r="B275" s="117"/>
      <c r="C275" s="117"/>
      <c r="D275" s="117"/>
      <c r="E275" s="117"/>
      <c r="F275" s="111"/>
    </row>
    <row r="276" spans="2:6" hidden="1">
      <c r="B276" s="117"/>
      <c r="C276" s="117"/>
      <c r="D276" s="117"/>
      <c r="E276" s="117"/>
      <c r="F276" s="111"/>
    </row>
    <row r="277" spans="2:6" hidden="1">
      <c r="B277" s="117"/>
      <c r="C277" s="117"/>
      <c r="D277" s="117"/>
      <c r="E277" s="117"/>
      <c r="F277" s="111"/>
    </row>
    <row r="278" spans="2:6" hidden="1">
      <c r="B278" s="117"/>
      <c r="C278" s="117"/>
      <c r="D278" s="117"/>
      <c r="E278" s="117"/>
      <c r="F278" s="111"/>
    </row>
    <row r="279" spans="2:6" hidden="1">
      <c r="B279" s="117"/>
      <c r="C279" s="117"/>
      <c r="D279" s="117"/>
      <c r="E279" s="117"/>
      <c r="F279" s="111"/>
    </row>
    <row r="280" spans="2:6" hidden="1">
      <c r="B280" s="117"/>
      <c r="C280" s="117"/>
      <c r="D280" s="117"/>
      <c r="E280" s="117"/>
      <c r="F280" s="111"/>
    </row>
    <row r="281" spans="2:6" hidden="1">
      <c r="B281" s="117"/>
      <c r="C281" s="117"/>
      <c r="D281" s="117"/>
      <c r="E281" s="117"/>
      <c r="F281" s="111"/>
    </row>
    <row r="282" spans="2:6" hidden="1">
      <c r="B282" s="117"/>
      <c r="C282" s="117"/>
      <c r="D282" s="117"/>
      <c r="E282" s="117"/>
      <c r="F282" s="111"/>
    </row>
    <row r="283" spans="2:6" hidden="1">
      <c r="B283" s="117"/>
      <c r="C283" s="117"/>
      <c r="D283" s="117"/>
      <c r="E283" s="117"/>
      <c r="F283" s="111"/>
    </row>
    <row r="284" spans="2:6" hidden="1">
      <c r="B284" s="117"/>
      <c r="C284" s="117"/>
      <c r="D284" s="117"/>
      <c r="E284" s="117"/>
      <c r="F284" s="111"/>
    </row>
    <row r="285" spans="2:6" hidden="1">
      <c r="B285" s="117"/>
      <c r="C285" s="117"/>
      <c r="D285" s="117"/>
      <c r="E285" s="117"/>
      <c r="F285" s="111"/>
    </row>
    <row r="286" spans="2:6" hidden="1">
      <c r="B286" s="117"/>
      <c r="C286" s="117"/>
      <c r="D286" s="117"/>
      <c r="E286" s="117"/>
      <c r="F286" s="111"/>
    </row>
    <row r="287" spans="2:6" hidden="1">
      <c r="B287" s="117"/>
      <c r="C287" s="117"/>
      <c r="D287" s="117"/>
      <c r="E287" s="117"/>
      <c r="F287" s="111"/>
    </row>
    <row r="288" spans="2:6" hidden="1">
      <c r="B288" s="117"/>
      <c r="C288" s="117"/>
      <c r="D288" s="117"/>
      <c r="E288" s="117"/>
      <c r="F288" s="111"/>
    </row>
    <row r="289" spans="2:6" hidden="1">
      <c r="B289" s="117"/>
      <c r="C289" s="117"/>
      <c r="D289" s="117"/>
      <c r="E289" s="117"/>
      <c r="F289" s="111"/>
    </row>
    <row r="290" spans="2:6" hidden="1">
      <c r="B290" s="117"/>
      <c r="C290" s="117"/>
      <c r="D290" s="117"/>
      <c r="E290" s="117"/>
      <c r="F290" s="111"/>
    </row>
    <row r="291" spans="2:6" hidden="1">
      <c r="B291" s="117"/>
      <c r="C291" s="117"/>
      <c r="D291" s="117"/>
      <c r="E291" s="117"/>
      <c r="F291" s="111"/>
    </row>
    <row r="292" spans="2:6" hidden="1">
      <c r="B292" s="117"/>
      <c r="C292" s="117"/>
      <c r="D292" s="117"/>
      <c r="E292" s="117"/>
      <c r="F292" s="111"/>
    </row>
    <row r="293" spans="2:6" hidden="1">
      <c r="B293" s="117"/>
      <c r="C293" s="117"/>
      <c r="D293" s="117"/>
      <c r="E293" s="117"/>
      <c r="F293" s="111"/>
    </row>
    <row r="294" spans="2:6" hidden="1">
      <c r="B294" s="117"/>
      <c r="C294" s="117"/>
      <c r="D294" s="117"/>
      <c r="E294" s="117"/>
      <c r="F294" s="111"/>
    </row>
    <row r="295" spans="2:6" hidden="1">
      <c r="B295" s="117"/>
      <c r="C295" s="117"/>
      <c r="D295" s="117"/>
      <c r="E295" s="117"/>
      <c r="F295" s="111"/>
    </row>
    <row r="296" spans="2:6" hidden="1">
      <c r="B296" s="117"/>
      <c r="C296" s="117"/>
      <c r="D296" s="117"/>
      <c r="E296" s="117"/>
      <c r="F296" s="111"/>
    </row>
    <row r="297" spans="2:6" hidden="1">
      <c r="B297" s="117"/>
      <c r="C297" s="117"/>
      <c r="D297" s="117"/>
      <c r="E297" s="117"/>
      <c r="F297" s="111"/>
    </row>
    <row r="298" spans="2:6" hidden="1">
      <c r="B298" s="117"/>
      <c r="C298" s="117"/>
      <c r="D298" s="117"/>
      <c r="E298" s="117"/>
      <c r="F298" s="111"/>
    </row>
    <row r="299" spans="2:6" ht="13.5" hidden="1" thickBot="1">
      <c r="B299" s="109"/>
      <c r="C299" s="109"/>
      <c r="D299" s="109"/>
      <c r="E299" s="109"/>
      <c r="F299" s="112"/>
    </row>
    <row r="301" spans="2:6" ht="409.6" hidden="1" customHeight="1"/>
    <row r="302" spans="2:6" ht="409.6" hidden="1" customHeight="1" thickTop="1"/>
    <row r="303" spans="2:6" ht="409.6" hidden="1" customHeight="1" thickTop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0.59999389629810485"/>
    <pageSetUpPr fitToPage="1"/>
  </sheetPr>
  <dimension ref="A1:R86"/>
  <sheetViews>
    <sheetView zoomScaleNormal="100" workbookViewId="0">
      <selection activeCell="A2" sqref="A2"/>
    </sheetView>
  </sheetViews>
  <sheetFormatPr defaultRowHeight="12.75"/>
  <cols>
    <col min="1" max="1" width="42.42578125" style="4" customWidth="1"/>
    <col min="2" max="2" width="18.28515625" style="119" hidden="1" customWidth="1"/>
    <col min="3" max="3" width="18.28515625" style="119" customWidth="1"/>
    <col min="4" max="8" width="19" style="119" customWidth="1"/>
    <col min="9" max="12" width="16.85546875" style="119" customWidth="1"/>
    <col min="13" max="14" width="15" style="119" bestFit="1" customWidth="1"/>
    <col min="15" max="15" width="15.140625" style="217" bestFit="1" customWidth="1"/>
    <col min="16" max="16" width="10.28515625" style="218" bestFit="1" customWidth="1"/>
    <col min="17" max="16384" width="9.140625" style="4"/>
  </cols>
  <sheetData>
    <row r="1" spans="1:16" ht="18.75">
      <c r="A1" s="319" t="s">
        <v>773</v>
      </c>
      <c r="M1" s="320"/>
    </row>
    <row r="3" spans="1:16" ht="15">
      <c r="A3" s="204" t="s">
        <v>469</v>
      </c>
      <c r="B3" s="118">
        <v>2015</v>
      </c>
      <c r="C3" s="221">
        <f>+'Income Statement Cash Flows'!E6</f>
        <v>2022</v>
      </c>
      <c r="D3" s="221">
        <f>+'Income Statement Cash Flows'!F6</f>
        <v>2023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321"/>
    </row>
    <row r="4" spans="1:16" ht="15">
      <c r="A4" s="204" t="s">
        <v>470</v>
      </c>
      <c r="B4" s="118">
        <v>339863384.04000002</v>
      </c>
      <c r="C4" s="197">
        <f>+[9]Power!I$4</f>
        <v>278642769.00999999</v>
      </c>
      <c r="D4" s="197">
        <f>+[9]Power!J$4</f>
        <v>304747846.97000003</v>
      </c>
      <c r="E4" s="197"/>
      <c r="F4" s="197"/>
      <c r="G4" s="197"/>
      <c r="H4" s="197"/>
      <c r="I4" s="197"/>
      <c r="J4" s="197"/>
      <c r="K4" s="197"/>
      <c r="L4" s="197"/>
      <c r="M4" s="197"/>
      <c r="O4" s="322">
        <f>SUM(C4:C12)/1000-'Income Statement Cash Flows'!E9</f>
        <v>-7265.5398000000278</v>
      </c>
      <c r="P4" s="322">
        <f>SUM(D4:D12)/1000-'Income Statement Cash Flows'!F9</f>
        <v>-3618.7537999999477</v>
      </c>
    </row>
    <row r="5" spans="1:16" ht="15">
      <c r="A5" s="204" t="s">
        <v>471</v>
      </c>
      <c r="B5" s="118">
        <v>143032999.92000002</v>
      </c>
      <c r="C5" s="197">
        <f>[9]Power!I5</f>
        <v>152269000.03000003</v>
      </c>
      <c r="D5" s="197">
        <f>[9]Power!J5</f>
        <v>152963000.03000003</v>
      </c>
      <c r="E5" s="197"/>
      <c r="F5" s="197"/>
      <c r="G5" s="197"/>
      <c r="H5" s="197"/>
      <c r="I5" s="197"/>
      <c r="J5" s="197"/>
      <c r="K5" s="197"/>
      <c r="L5" s="197"/>
      <c r="M5" s="197"/>
    </row>
    <row r="6" spans="1:16" ht="15">
      <c r="A6" s="204" t="s">
        <v>472</v>
      </c>
      <c r="B6" s="118">
        <v>231878000.03999999</v>
      </c>
      <c r="C6" s="197">
        <f>[9]Power!I6</f>
        <v>252557000.03000003</v>
      </c>
      <c r="D6" s="197">
        <f>[9]Power!J6</f>
        <v>252557000.03000003</v>
      </c>
      <c r="E6" s="197"/>
      <c r="F6" s="197"/>
      <c r="G6" s="197"/>
      <c r="H6" s="197"/>
      <c r="I6" s="197"/>
      <c r="J6" s="197"/>
      <c r="K6" s="197"/>
      <c r="L6" s="197"/>
      <c r="M6" s="197"/>
    </row>
    <row r="7" spans="1:16" s="323" customFormat="1" ht="15">
      <c r="A7" s="323" t="s">
        <v>151</v>
      </c>
      <c r="B7" s="324">
        <v>4932258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324"/>
      <c r="N7" s="324"/>
      <c r="O7" s="325"/>
      <c r="P7" s="326"/>
    </row>
    <row r="8" spans="1:16" ht="15">
      <c r="A8" s="4" t="s">
        <v>152</v>
      </c>
      <c r="B8" s="119">
        <v>4212645.96</v>
      </c>
      <c r="C8" s="197">
        <f>[9]Power!I8</f>
        <v>8600000</v>
      </c>
      <c r="D8" s="197">
        <f>[9]Power!J8</f>
        <v>9600000.0099999998</v>
      </c>
      <c r="E8" s="197"/>
      <c r="F8" s="197"/>
      <c r="G8" s="197"/>
      <c r="H8" s="197"/>
      <c r="I8" s="197"/>
      <c r="J8" s="197"/>
      <c r="K8" s="197"/>
      <c r="L8" s="197"/>
    </row>
    <row r="9" spans="1:16" ht="15">
      <c r="A9" s="4" t="s">
        <v>153</v>
      </c>
      <c r="B9" s="119">
        <v>5300000.04</v>
      </c>
      <c r="C9" s="197">
        <f>[9]Power!I9</f>
        <v>5300000</v>
      </c>
      <c r="D9" s="197">
        <f>[9]Power!J9</f>
        <v>5300000</v>
      </c>
      <c r="E9" s="197"/>
      <c r="F9" s="197"/>
      <c r="G9" s="197"/>
      <c r="H9" s="197"/>
      <c r="I9" s="197"/>
      <c r="J9" s="197"/>
      <c r="K9" s="197"/>
      <c r="L9" s="197"/>
    </row>
    <row r="10" spans="1:16" ht="15">
      <c r="A10" s="4" t="s">
        <v>154</v>
      </c>
      <c r="B10" s="119">
        <v>10961354.039999999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1:16" ht="15">
      <c r="A11" s="4" t="s">
        <v>155</v>
      </c>
      <c r="B11" s="119">
        <v>975354.96</v>
      </c>
      <c r="C11" s="197">
        <f>+[9]Power!I$11</f>
        <v>767827.03</v>
      </c>
      <c r="D11" s="197">
        <f>+[9]Power!J$11</f>
        <v>812825.97000000009</v>
      </c>
      <c r="E11" s="197"/>
      <c r="F11" s="197"/>
      <c r="G11" s="197"/>
      <c r="H11" s="197"/>
      <c r="I11" s="197"/>
      <c r="J11" s="197"/>
      <c r="K11" s="197"/>
      <c r="L11" s="197"/>
    </row>
    <row r="12" spans="1:16" ht="15">
      <c r="A12" s="4" t="s">
        <v>156</v>
      </c>
      <c r="B12" s="119">
        <v>1079627.04</v>
      </c>
      <c r="C12" s="197">
        <f>+[9]Power!I$12</f>
        <v>1368484.01</v>
      </c>
      <c r="D12" s="197">
        <f>+[9]Power!J$12</f>
        <v>1410431.0099999998</v>
      </c>
      <c r="E12" s="197"/>
      <c r="F12" s="197"/>
      <c r="G12" s="197"/>
      <c r="H12" s="197"/>
      <c r="I12" s="197"/>
      <c r="J12" s="197"/>
      <c r="K12" s="197"/>
      <c r="L12" s="197"/>
    </row>
    <row r="13" spans="1:16" s="328" customFormat="1" ht="15">
      <c r="A13" s="204" t="s">
        <v>207</v>
      </c>
      <c r="B13" s="118">
        <v>27461240.039999999</v>
      </c>
      <c r="C13" s="118">
        <f>SUM(C7:C12)</f>
        <v>16036311.039999999</v>
      </c>
      <c r="D13" s="118">
        <f t="shared" ref="D13" si="0">SUM(D7:D12)</f>
        <v>17123256.990000002</v>
      </c>
      <c r="E13" s="118"/>
      <c r="F13" s="118"/>
      <c r="G13" s="118"/>
      <c r="H13" s="118"/>
      <c r="I13" s="118"/>
      <c r="J13" s="118"/>
      <c r="K13" s="118"/>
      <c r="L13" s="118"/>
      <c r="M13" s="327"/>
      <c r="N13" s="327"/>
      <c r="O13" s="217"/>
      <c r="P13" s="218"/>
    </row>
    <row r="14" spans="1:16" ht="15">
      <c r="A14" s="204" t="s">
        <v>714</v>
      </c>
      <c r="B14" s="118">
        <v>21497367.960000001</v>
      </c>
      <c r="C14" s="197">
        <f>+[9]Power!I$15</f>
        <v>22000000</v>
      </c>
      <c r="D14" s="197">
        <f>+[9]Power!J$15</f>
        <v>22000000</v>
      </c>
      <c r="E14" s="197"/>
      <c r="F14" s="197"/>
      <c r="G14" s="197"/>
      <c r="H14" s="197"/>
      <c r="I14" s="197"/>
      <c r="J14" s="197"/>
      <c r="K14" s="197"/>
      <c r="L14" s="197"/>
      <c r="O14" s="217">
        <f>+C14/1000-'Income Statement Cash Flows'!E10</f>
        <v>-5749.250039999999</v>
      </c>
      <c r="P14" s="217">
        <f>+D14/1000-'Income Statement Cash Flows'!F10</f>
        <v>-5499.999960000001</v>
      </c>
    </row>
    <row r="15" spans="1:16" ht="15">
      <c r="A15" s="204" t="s">
        <v>715</v>
      </c>
      <c r="B15" s="118"/>
      <c r="C15" s="197">
        <f>+[9]Power!I$14</f>
        <v>5749250.04</v>
      </c>
      <c r="D15" s="197">
        <f>+[9]Power!J$14</f>
        <v>5499999.96</v>
      </c>
      <c r="E15" s="197"/>
      <c r="F15" s="197"/>
      <c r="G15" s="197"/>
      <c r="H15" s="197"/>
      <c r="I15" s="197"/>
      <c r="J15" s="197"/>
      <c r="K15" s="197"/>
      <c r="L15" s="197"/>
    </row>
    <row r="16" spans="1:16" s="328" customFormat="1" ht="15">
      <c r="A16" s="204" t="s">
        <v>473</v>
      </c>
      <c r="B16" s="118"/>
      <c r="C16" s="118">
        <f>SUM(C14:C15)</f>
        <v>27749250.039999999</v>
      </c>
      <c r="D16" s="118">
        <f t="shared" ref="D16" si="1">SUM(D14:D15)</f>
        <v>27499999.960000001</v>
      </c>
      <c r="E16" s="118"/>
      <c r="F16" s="118"/>
      <c r="G16" s="118"/>
      <c r="H16" s="118"/>
      <c r="I16" s="118"/>
      <c r="J16" s="118"/>
      <c r="K16" s="118"/>
      <c r="L16" s="118"/>
      <c r="M16" s="327"/>
      <c r="N16" s="327"/>
      <c r="O16" s="217"/>
      <c r="P16" s="218"/>
    </row>
    <row r="17" spans="1:16" ht="15">
      <c r="A17" s="4" t="s">
        <v>208</v>
      </c>
      <c r="B17" s="119">
        <v>999999.96</v>
      </c>
      <c r="C17" s="197">
        <f>+[9]Power!I$16</f>
        <v>1199999.9600000002</v>
      </c>
      <c r="D17" s="197">
        <f>+[9]Power!J$16</f>
        <v>1199999.9600000002</v>
      </c>
      <c r="E17" s="197"/>
      <c r="F17" s="197"/>
      <c r="G17" s="197"/>
      <c r="H17" s="197"/>
      <c r="I17" s="197"/>
      <c r="J17" s="197"/>
      <c r="K17" s="197"/>
      <c r="L17" s="197"/>
    </row>
    <row r="18" spans="1:16" ht="15">
      <c r="A18" s="4" t="s">
        <v>209</v>
      </c>
      <c r="B18" s="119">
        <v>467000.04</v>
      </c>
      <c r="C18" s="197">
        <f>+[9]Power!I$17</f>
        <v>1140999.9700000002</v>
      </c>
      <c r="D18" s="197">
        <f>+[9]Power!J$17</f>
        <v>1174999.99</v>
      </c>
      <c r="E18" s="197"/>
      <c r="F18" s="197"/>
      <c r="G18" s="197"/>
      <c r="H18" s="197"/>
      <c r="I18" s="197"/>
      <c r="J18" s="197"/>
      <c r="K18" s="197"/>
      <c r="L18" s="197"/>
    </row>
    <row r="19" spans="1:16" s="328" customFormat="1" ht="15">
      <c r="A19" s="204" t="s">
        <v>210</v>
      </c>
      <c r="B19" s="118">
        <v>1467000</v>
      </c>
      <c r="C19" s="118">
        <f>+C18+C17</f>
        <v>2340999.9300000006</v>
      </c>
      <c r="D19" s="118">
        <f t="shared" ref="D19" si="2">+D18+D17</f>
        <v>2374999.9500000002</v>
      </c>
      <c r="E19" s="118"/>
      <c r="F19" s="118"/>
      <c r="G19" s="118"/>
      <c r="H19" s="118"/>
      <c r="I19" s="118"/>
      <c r="J19" s="118"/>
      <c r="K19" s="118"/>
      <c r="L19" s="118"/>
      <c r="M19" s="327"/>
      <c r="N19" s="327"/>
      <c r="O19" s="217">
        <f>+C19/1000-'Income Statement Cash Flows'!E11</f>
        <v>0</v>
      </c>
      <c r="P19" s="217">
        <f>+D19/1000-'Income Statement Cash Flows'!F11</f>
        <v>0</v>
      </c>
    </row>
    <row r="20" spans="1:16" ht="15">
      <c r="A20" s="4" t="s">
        <v>211</v>
      </c>
      <c r="B20" s="119">
        <v>26719640.039999999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6" ht="15">
      <c r="A21" s="4" t="s">
        <v>132</v>
      </c>
      <c r="B21" s="119">
        <v>94913013.959999993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6" ht="15">
      <c r="A22" s="4" t="s">
        <v>131</v>
      </c>
      <c r="B22" s="119">
        <v>3000000</v>
      </c>
      <c r="C22" s="197">
        <f>+[9]Power!I$22</f>
        <v>3099999.98</v>
      </c>
      <c r="D22" s="197">
        <f>+[9]Power!J$22</f>
        <v>3099999.98</v>
      </c>
      <c r="E22" s="197"/>
      <c r="F22" s="197"/>
      <c r="G22" s="197"/>
      <c r="H22" s="197"/>
      <c r="I22" s="197"/>
      <c r="J22" s="197"/>
      <c r="K22" s="197"/>
      <c r="L22" s="197"/>
    </row>
    <row r="23" spans="1:16" ht="15">
      <c r="A23" s="4" t="s">
        <v>212</v>
      </c>
      <c r="B23" s="119">
        <v>24656070.960000001</v>
      </c>
      <c r="C23" s="197">
        <f>+[9]Power!I$23</f>
        <v>43548999.979999997</v>
      </c>
      <c r="D23" s="197">
        <f>+[9]Power!J$23</f>
        <v>43548999.979999997</v>
      </c>
      <c r="E23" s="197"/>
      <c r="F23" s="197"/>
      <c r="G23" s="197"/>
      <c r="H23" s="197"/>
      <c r="I23" s="197"/>
      <c r="J23" s="197"/>
      <c r="K23" s="197"/>
      <c r="L23" s="197"/>
    </row>
    <row r="24" spans="1:16" ht="15">
      <c r="A24" s="204" t="s">
        <v>213</v>
      </c>
      <c r="B24" s="118">
        <v>149288724.96000001</v>
      </c>
      <c r="C24" s="118">
        <f>SUM(C20:C23)</f>
        <v>46648999.959999993</v>
      </c>
      <c r="D24" s="118">
        <f t="shared" ref="D24" si="3">SUM(D20:D23)</f>
        <v>46648999.959999993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215"/>
    </row>
    <row r="25" spans="1:16" ht="15">
      <c r="A25" s="204" t="s">
        <v>149</v>
      </c>
      <c r="B25" s="118">
        <v>203900000.03999999</v>
      </c>
      <c r="C25" s="118">
        <f>+[9]Power!I$25</f>
        <v>259000000.00999999</v>
      </c>
      <c r="D25" s="118">
        <f>+[9]Power!J$25</f>
        <v>259000000.00999999</v>
      </c>
      <c r="E25" s="118"/>
      <c r="F25" s="118"/>
      <c r="G25" s="118"/>
      <c r="H25" s="118"/>
      <c r="I25" s="118"/>
      <c r="J25" s="118"/>
      <c r="K25" s="118"/>
      <c r="L25" s="118"/>
    </row>
    <row r="26" spans="1:16" s="328" customFormat="1" ht="15">
      <c r="A26" s="204" t="s">
        <v>133</v>
      </c>
      <c r="B26" s="118">
        <v>40330798.599999994</v>
      </c>
      <c r="C26" s="118">
        <f>+[9]Power!I26</f>
        <v>34418000.019999996</v>
      </c>
      <c r="D26" s="118">
        <f>+[9]Power!J26</f>
        <v>29467000.039999995</v>
      </c>
      <c r="E26" s="118"/>
      <c r="F26" s="118"/>
      <c r="G26" s="118"/>
      <c r="H26" s="118"/>
      <c r="I26" s="118"/>
      <c r="J26" s="118"/>
      <c r="K26" s="118"/>
      <c r="L26" s="118"/>
      <c r="M26" s="327"/>
      <c r="N26" s="327"/>
      <c r="O26" s="217">
        <f>+C26/1000-'Income Statement Cash Flows'!E15</f>
        <v>0</v>
      </c>
      <c r="P26" s="217">
        <f>+D26/1000-'Income Statement Cash Flows'!F15</f>
        <v>0</v>
      </c>
    </row>
    <row r="27" spans="1:16" ht="15">
      <c r="A27" s="4" t="s">
        <v>566</v>
      </c>
      <c r="B27" s="118"/>
      <c r="C27" s="197">
        <f>+[9]Power!I27</f>
        <v>27300000.020000003</v>
      </c>
      <c r="D27" s="197">
        <f>+[9]Power!J27</f>
        <v>27299999.979999997</v>
      </c>
      <c r="E27" s="197"/>
      <c r="F27" s="197"/>
      <c r="G27" s="197"/>
      <c r="H27" s="197"/>
      <c r="I27" s="197"/>
      <c r="J27" s="197"/>
      <c r="K27" s="197"/>
      <c r="L27" s="197"/>
    </row>
    <row r="28" spans="1:16" ht="15">
      <c r="A28" s="4" t="s">
        <v>135</v>
      </c>
      <c r="B28" s="119">
        <v>605000.04</v>
      </c>
      <c r="C28" s="197">
        <f>+[9]Power!I28</f>
        <v>589999.99</v>
      </c>
      <c r="D28" s="197">
        <f>+[9]Power!J28</f>
        <v>589999.99</v>
      </c>
      <c r="E28" s="197"/>
      <c r="F28" s="197"/>
      <c r="G28" s="197"/>
      <c r="H28" s="197"/>
      <c r="I28" s="197"/>
      <c r="J28" s="197"/>
      <c r="K28" s="197"/>
      <c r="L28" s="197"/>
    </row>
    <row r="29" spans="1:16" ht="15">
      <c r="A29" s="4" t="s">
        <v>136</v>
      </c>
      <c r="B29" s="119">
        <v>14748219</v>
      </c>
      <c r="C29" s="197">
        <f>+[9]Power!I29</f>
        <v>11800000.01</v>
      </c>
      <c r="D29" s="197">
        <f>+[9]Power!J29</f>
        <v>11800000.01</v>
      </c>
      <c r="E29" s="197"/>
      <c r="F29" s="197"/>
      <c r="G29" s="197"/>
      <c r="H29" s="197"/>
      <c r="I29" s="197"/>
      <c r="J29" s="197"/>
      <c r="K29" s="197"/>
      <c r="L29" s="197"/>
    </row>
    <row r="30" spans="1:16" ht="15">
      <c r="A30" s="4" t="s">
        <v>214</v>
      </c>
      <c r="B30" s="119">
        <v>12999999.960000001</v>
      </c>
      <c r="C30" s="197">
        <f>+[9]Power!I30</f>
        <v>7999999.9900000002</v>
      </c>
      <c r="D30" s="197">
        <f>+[9]Power!J30</f>
        <v>7999999.9900000002</v>
      </c>
      <c r="E30" s="197"/>
      <c r="F30" s="197"/>
      <c r="G30" s="197"/>
      <c r="H30" s="197"/>
      <c r="I30" s="197"/>
      <c r="J30" s="197"/>
      <c r="K30" s="197"/>
      <c r="L30" s="197"/>
    </row>
    <row r="31" spans="1:16" ht="15">
      <c r="A31" s="4" t="s">
        <v>215</v>
      </c>
      <c r="B31" s="119">
        <v>5252000.04</v>
      </c>
      <c r="C31" s="197">
        <f>+[9]Power!I31</f>
        <v>6005000.0000000009</v>
      </c>
      <c r="D31" s="197">
        <f>+[9]Power!J31</f>
        <v>6005000.0000000009</v>
      </c>
      <c r="E31" s="197"/>
      <c r="F31" s="197"/>
      <c r="G31" s="197"/>
      <c r="H31" s="197"/>
      <c r="I31" s="197"/>
      <c r="J31" s="197"/>
      <c r="K31" s="197"/>
      <c r="L31" s="197"/>
    </row>
    <row r="32" spans="1:16" ht="15">
      <c r="A32" s="4" t="s">
        <v>134</v>
      </c>
      <c r="B32" s="119">
        <v>14691590.039999999</v>
      </c>
      <c r="C32" s="197">
        <f>+[9]Power!I32</f>
        <v>67356799.989999995</v>
      </c>
      <c r="D32" s="197">
        <f>+[9]Power!J32</f>
        <v>67356799.989999995</v>
      </c>
      <c r="E32" s="197"/>
      <c r="F32" s="197"/>
      <c r="G32" s="197"/>
      <c r="H32" s="197"/>
      <c r="I32" s="197"/>
      <c r="J32" s="197"/>
      <c r="K32" s="197"/>
      <c r="L32" s="197"/>
    </row>
    <row r="33" spans="1:16" ht="15">
      <c r="A33" s="4" t="s">
        <v>474</v>
      </c>
      <c r="B33" s="119">
        <v>1824999.96</v>
      </c>
      <c r="C33" s="197">
        <f>+[9]Power!I33</f>
        <v>215000</v>
      </c>
      <c r="D33" s="197">
        <f>+[9]Power!J33</f>
        <v>215000</v>
      </c>
      <c r="E33" s="197"/>
      <c r="F33" s="197"/>
      <c r="G33" s="197"/>
      <c r="H33" s="197"/>
      <c r="I33" s="197"/>
      <c r="J33" s="197"/>
      <c r="K33" s="197"/>
      <c r="L33" s="197"/>
    </row>
    <row r="34" spans="1:16" ht="15">
      <c r="A34" s="6" t="s">
        <v>567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6" ht="15">
      <c r="A35" s="6" t="s">
        <v>568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6" s="328" customFormat="1" ht="15">
      <c r="A36" s="204" t="s">
        <v>216</v>
      </c>
      <c r="B36" s="118">
        <v>50121809.039999999</v>
      </c>
      <c r="C36" s="118">
        <f>SUM(C27:C35)</f>
        <v>121266800</v>
      </c>
      <c r="D36" s="118">
        <f t="shared" ref="D36" si="4">SUM(D27:D35)</f>
        <v>121266799.95999999</v>
      </c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217">
        <f>+C36/1000-'Income Statement Cash Flows'!E16</f>
        <v>0</v>
      </c>
      <c r="P36" s="217">
        <f>+D36/1000-'Income Statement Cash Flows'!F16</f>
        <v>0</v>
      </c>
    </row>
    <row r="37" spans="1:16" ht="15">
      <c r="A37" s="4" t="s">
        <v>143</v>
      </c>
      <c r="B37" s="119">
        <v>56442399.960000001</v>
      </c>
      <c r="C37" s="197">
        <f>+[9]Power!I37</f>
        <v>81853839</v>
      </c>
      <c r="D37" s="197">
        <f>+[9]Power!J37</f>
        <v>83243104.99000001</v>
      </c>
      <c r="E37" s="197"/>
      <c r="F37" s="197"/>
      <c r="G37" s="197"/>
      <c r="H37" s="197"/>
      <c r="I37" s="197"/>
      <c r="J37" s="197"/>
      <c r="K37" s="197"/>
      <c r="L37" s="197"/>
    </row>
    <row r="38" spans="1:16" ht="15">
      <c r="A38" s="4" t="s">
        <v>217</v>
      </c>
      <c r="B38" s="119">
        <v>11664000</v>
      </c>
      <c r="C38" s="197">
        <f>+[9]Power!I38</f>
        <v>12886680</v>
      </c>
      <c r="D38" s="197">
        <f>+[9]Power!J38</f>
        <v>13144413.970000001</v>
      </c>
      <c r="E38" s="197"/>
      <c r="F38" s="197"/>
      <c r="G38" s="197"/>
      <c r="H38" s="197"/>
      <c r="I38" s="197"/>
      <c r="J38" s="197"/>
      <c r="K38" s="197"/>
      <c r="L38" s="197"/>
    </row>
    <row r="39" spans="1:16" ht="15">
      <c r="A39" s="4" t="s">
        <v>218</v>
      </c>
      <c r="B39" s="119">
        <v>94474184.040000007</v>
      </c>
      <c r="C39" s="197">
        <f>+[9]Power!I39</f>
        <v>113402377</v>
      </c>
      <c r="D39" s="197">
        <f>+[9]Power!J39</f>
        <v>106916125</v>
      </c>
      <c r="E39" s="197"/>
      <c r="F39" s="197"/>
      <c r="G39" s="197"/>
      <c r="H39" s="197"/>
      <c r="I39" s="197"/>
      <c r="J39" s="197"/>
      <c r="K39" s="197"/>
      <c r="L39" s="197"/>
    </row>
    <row r="40" spans="1:16" ht="15">
      <c r="A40" s="4" t="s">
        <v>219</v>
      </c>
      <c r="B40" s="119">
        <v>2333274.96</v>
      </c>
      <c r="C40" s="197">
        <f>+[9]Power!I40</f>
        <v>3299999.9899999998</v>
      </c>
      <c r="D40" s="197">
        <f>+[9]Power!J40</f>
        <v>3299999.9899999998</v>
      </c>
      <c r="E40" s="197"/>
      <c r="F40" s="197"/>
      <c r="G40" s="197"/>
      <c r="H40" s="197"/>
      <c r="I40" s="197"/>
      <c r="J40" s="197"/>
      <c r="K40" s="197"/>
      <c r="L40" s="197"/>
    </row>
    <row r="41" spans="1:16" s="328" customFormat="1" ht="15">
      <c r="A41" s="204" t="s">
        <v>220</v>
      </c>
      <c r="B41" s="118">
        <v>164913858.96000001</v>
      </c>
      <c r="C41" s="118">
        <f>SUM(C37:C40)</f>
        <v>211442895.99000001</v>
      </c>
      <c r="D41" s="118">
        <f t="shared" ref="D41" si="5">SUM(D37:D40)</f>
        <v>206603643.95000002</v>
      </c>
      <c r="E41" s="118"/>
      <c r="F41" s="118"/>
      <c r="G41" s="118"/>
      <c r="H41" s="118"/>
      <c r="I41" s="118"/>
      <c r="J41" s="118"/>
      <c r="K41" s="118"/>
      <c r="L41" s="118"/>
      <c r="M41" s="327"/>
      <c r="N41" s="327"/>
      <c r="O41" s="217"/>
      <c r="P41" s="218"/>
    </row>
    <row r="42" spans="1:16" ht="15">
      <c r="A42" s="4" t="s">
        <v>142</v>
      </c>
      <c r="B42" s="119">
        <v>8964806.4800000004</v>
      </c>
      <c r="C42" s="197">
        <f>[9]Power!I42</f>
        <v>6969975.9700000007</v>
      </c>
      <c r="D42" s="197">
        <f>[9]Power!J42</f>
        <v>7193160.1800000016</v>
      </c>
      <c r="E42" s="197"/>
      <c r="F42" s="197"/>
      <c r="G42" s="197"/>
      <c r="H42" s="197"/>
      <c r="I42" s="197"/>
      <c r="J42" s="197"/>
      <c r="K42" s="197"/>
      <c r="L42" s="197"/>
    </row>
    <row r="43" spans="1:16" ht="15">
      <c r="A43" s="4" t="s">
        <v>221</v>
      </c>
      <c r="B43" s="119">
        <v>7624740.4800000004</v>
      </c>
      <c r="C43" s="197">
        <f>[9]Power!I43</f>
        <v>3946607.5999999992</v>
      </c>
      <c r="D43" s="197">
        <f>[9]Power!J43</f>
        <v>4035144.5300000003</v>
      </c>
      <c r="E43" s="197"/>
      <c r="F43" s="197"/>
      <c r="G43" s="197"/>
      <c r="H43" s="197"/>
      <c r="I43" s="197"/>
      <c r="J43" s="197"/>
      <c r="K43" s="197"/>
      <c r="L43" s="197"/>
    </row>
    <row r="44" spans="1:16" ht="15">
      <c r="A44" s="4" t="s">
        <v>222</v>
      </c>
      <c r="B44" s="119">
        <v>9829570.8000000007</v>
      </c>
      <c r="C44" s="197">
        <f>[9]Power!I44</f>
        <v>9600421.5700000003</v>
      </c>
      <c r="D44" s="197">
        <f>[9]Power!J44</f>
        <v>9910280.7300000023</v>
      </c>
      <c r="E44" s="197"/>
      <c r="F44" s="197"/>
      <c r="G44" s="197"/>
      <c r="H44" s="197"/>
      <c r="I44" s="197"/>
      <c r="J44" s="197"/>
      <c r="K44" s="197"/>
      <c r="L44" s="197"/>
    </row>
    <row r="45" spans="1:16" ht="15">
      <c r="A45" s="4" t="s">
        <v>139</v>
      </c>
      <c r="B45" s="119">
        <v>6935839.9299999997</v>
      </c>
      <c r="C45" s="197">
        <f>[9]Power!I45</f>
        <v>8708034.6600000001</v>
      </c>
      <c r="D45" s="197">
        <f>[9]Power!J45</f>
        <v>9006232.8600000013</v>
      </c>
      <c r="E45" s="197"/>
      <c r="F45" s="197"/>
      <c r="G45" s="197"/>
      <c r="H45" s="197"/>
      <c r="I45" s="197"/>
      <c r="J45" s="197"/>
      <c r="K45" s="197"/>
      <c r="L45" s="197"/>
    </row>
    <row r="46" spans="1:16" ht="15">
      <c r="A46" s="4" t="s">
        <v>138</v>
      </c>
      <c r="B46" s="119">
        <v>1076959.6299999999</v>
      </c>
      <c r="C46" s="197">
        <f>[9]Power!I46</f>
        <v>970735.77</v>
      </c>
      <c r="D46" s="197">
        <f>[9]Power!J46</f>
        <v>1002935.7400000002</v>
      </c>
      <c r="E46" s="197"/>
      <c r="F46" s="197"/>
      <c r="G46" s="197"/>
      <c r="H46" s="197"/>
      <c r="I46" s="197"/>
      <c r="J46" s="197"/>
      <c r="K46" s="197"/>
      <c r="L46" s="197"/>
    </row>
    <row r="47" spans="1:16" ht="15">
      <c r="A47" s="4" t="s">
        <v>141</v>
      </c>
      <c r="B47" s="119">
        <v>21376117.330000006</v>
      </c>
      <c r="C47" s="197">
        <f>[9]Power!I47</f>
        <v>1175327.8599999999</v>
      </c>
      <c r="D47" s="197">
        <f>[9]Power!J47</f>
        <v>1217723.08</v>
      </c>
      <c r="E47" s="197"/>
      <c r="F47" s="197"/>
      <c r="G47" s="197"/>
      <c r="H47" s="197"/>
      <c r="I47" s="197"/>
      <c r="J47" s="197"/>
      <c r="K47" s="197"/>
      <c r="L47" s="197"/>
    </row>
    <row r="48" spans="1:16" ht="15">
      <c r="A48" s="4" t="s">
        <v>148</v>
      </c>
      <c r="B48" s="119">
        <v>18912616.709999997</v>
      </c>
      <c r="C48" s="197">
        <f>[9]Power!I48</f>
        <v>3566411.7900000005</v>
      </c>
      <c r="D48" s="197">
        <f>[9]Power!J48</f>
        <v>3678979.17</v>
      </c>
      <c r="E48" s="197"/>
      <c r="F48" s="197"/>
      <c r="G48" s="197"/>
      <c r="H48" s="197"/>
      <c r="I48" s="197"/>
      <c r="J48" s="197"/>
      <c r="K48" s="197"/>
      <c r="L48" s="197"/>
    </row>
    <row r="49" spans="1:16" ht="15">
      <c r="A49" s="4" t="s">
        <v>147</v>
      </c>
      <c r="B49" s="119">
        <v>4151815.3900000015</v>
      </c>
      <c r="C49" s="197">
        <f>[9]Power!I49</f>
        <v>6672234.7099999981</v>
      </c>
      <c r="D49" s="197">
        <f>[9]Power!J49</f>
        <v>6885511.5299999956</v>
      </c>
      <c r="E49" s="197"/>
      <c r="F49" s="197"/>
      <c r="G49" s="197"/>
      <c r="H49" s="197"/>
      <c r="I49" s="197"/>
      <c r="J49" s="197"/>
      <c r="K49" s="197"/>
      <c r="L49" s="197"/>
    </row>
    <row r="50" spans="1:16" ht="15">
      <c r="A50" s="4" t="s">
        <v>137</v>
      </c>
      <c r="B50" s="119">
        <v>5727799.71</v>
      </c>
      <c r="C50" s="197">
        <f>[9]Power!I50</f>
        <v>3804075</v>
      </c>
      <c r="D50" s="197">
        <f>[9]Power!J50</f>
        <v>3780211.9200000004</v>
      </c>
      <c r="E50" s="197"/>
      <c r="F50" s="197"/>
      <c r="G50" s="197"/>
      <c r="H50" s="197"/>
      <c r="I50" s="197"/>
      <c r="J50" s="197"/>
      <c r="K50" s="197"/>
      <c r="L50" s="197"/>
    </row>
    <row r="51" spans="1:16" ht="15">
      <c r="A51" s="4" t="s">
        <v>140</v>
      </c>
      <c r="B51" s="119">
        <v>6028002</v>
      </c>
      <c r="C51" s="197">
        <f>[9]Power!I51</f>
        <v>2526625.0099999998</v>
      </c>
      <c r="D51" s="197">
        <f>[9]Power!J51</f>
        <v>2526625.0099999998</v>
      </c>
      <c r="E51" s="197"/>
      <c r="F51" s="197"/>
      <c r="G51" s="197"/>
      <c r="H51" s="197"/>
      <c r="I51" s="197"/>
      <c r="J51" s="197"/>
      <c r="K51" s="197"/>
      <c r="L51" s="197"/>
    </row>
    <row r="52" spans="1:16" ht="15">
      <c r="A52" s="4" t="s">
        <v>724</v>
      </c>
      <c r="C52" s="197">
        <f>[9]Power!I53</f>
        <v>2195093.39</v>
      </c>
      <c r="D52" s="197">
        <f>[9]Power!J53</f>
        <v>2257436.2300000009</v>
      </c>
      <c r="E52" s="197"/>
      <c r="F52" s="197"/>
      <c r="G52" s="197"/>
      <c r="H52" s="197"/>
      <c r="I52" s="197"/>
      <c r="J52" s="197"/>
      <c r="K52" s="197"/>
      <c r="L52" s="197"/>
    </row>
    <row r="53" spans="1:16" ht="15">
      <c r="A53" s="4" t="s">
        <v>725</v>
      </c>
      <c r="C53" s="197">
        <f>[9]Power!I54</f>
        <v>27500.04</v>
      </c>
      <c r="D53" s="197">
        <f>[9]Power!J54</f>
        <v>27500.04</v>
      </c>
      <c r="E53" s="197"/>
      <c r="F53" s="197"/>
      <c r="G53" s="197"/>
      <c r="H53" s="197"/>
      <c r="I53" s="197"/>
      <c r="J53" s="197"/>
      <c r="K53" s="197"/>
      <c r="L53" s="197"/>
    </row>
    <row r="54" spans="1:16" ht="15">
      <c r="A54" s="4" t="s">
        <v>726</v>
      </c>
      <c r="C54" s="197">
        <f>[9]Power!I55</f>
        <v>91150.260000000009</v>
      </c>
      <c r="D54" s="197">
        <f>[9]Power!J55</f>
        <v>93742.880000000019</v>
      </c>
      <c r="E54" s="197"/>
      <c r="F54" s="197"/>
      <c r="G54" s="197"/>
      <c r="H54" s="197"/>
      <c r="I54" s="197"/>
      <c r="J54" s="197"/>
      <c r="K54" s="197"/>
      <c r="L54" s="197"/>
    </row>
    <row r="55" spans="1:16" ht="15">
      <c r="A55" s="4" t="s">
        <v>727</v>
      </c>
      <c r="C55" s="197">
        <f>[9]Power!I56</f>
        <v>6522359.4300000025</v>
      </c>
      <c r="D55" s="197">
        <f>[9]Power!J56</f>
        <v>6743559.1000000006</v>
      </c>
      <c r="E55" s="197"/>
      <c r="F55" s="197"/>
      <c r="G55" s="197"/>
      <c r="H55" s="197"/>
      <c r="I55" s="197"/>
      <c r="J55" s="197"/>
      <c r="K55" s="197"/>
      <c r="L55" s="197"/>
    </row>
    <row r="56" spans="1:16" ht="15">
      <c r="A56" s="4" t="s">
        <v>728</v>
      </c>
      <c r="C56" s="197">
        <f>[9]Power!I57</f>
        <v>7827235.2900000056</v>
      </c>
      <c r="D56" s="197">
        <f>[9]Power!J57</f>
        <v>8413694.089999998</v>
      </c>
      <c r="E56" s="197"/>
      <c r="F56" s="197"/>
      <c r="G56" s="197"/>
      <c r="H56" s="197"/>
      <c r="I56" s="197"/>
      <c r="J56" s="197"/>
      <c r="K56" s="197"/>
      <c r="L56" s="197"/>
    </row>
    <row r="57" spans="1:16" ht="15">
      <c r="A57" s="6" t="s">
        <v>729</v>
      </c>
      <c r="C57" s="197">
        <f>[9]Power!I58</f>
        <v>6352110.9399999995</v>
      </c>
      <c r="D57" s="197">
        <f>[9]Power!J58</f>
        <v>6537039.3699999992</v>
      </c>
      <c r="E57" s="197"/>
      <c r="F57" s="197"/>
      <c r="G57" s="197"/>
      <c r="H57" s="197"/>
      <c r="I57" s="197"/>
      <c r="J57" s="197"/>
      <c r="K57" s="197"/>
      <c r="L57" s="197"/>
    </row>
    <row r="58" spans="1:16" ht="15">
      <c r="A58" s="6" t="s">
        <v>730</v>
      </c>
      <c r="C58" s="197">
        <f>[9]Power!I59</f>
        <v>7644845.1500000022</v>
      </c>
      <c r="D58" s="197">
        <f>[9]Power!J59</f>
        <v>7808528.8100000005</v>
      </c>
      <c r="E58" s="197"/>
      <c r="F58" s="197"/>
      <c r="G58" s="197"/>
      <c r="H58" s="197"/>
      <c r="I58" s="197"/>
      <c r="J58" s="197"/>
      <c r="K58" s="197"/>
      <c r="L58" s="197"/>
    </row>
    <row r="59" spans="1:16" ht="15">
      <c r="A59" s="6" t="s">
        <v>731</v>
      </c>
      <c r="C59" s="197">
        <f>[9]Power!I60</f>
        <v>906070.79000000027</v>
      </c>
      <c r="D59" s="197">
        <f>[9]Power!J60</f>
        <v>937429.8</v>
      </c>
      <c r="E59" s="197"/>
      <c r="F59" s="197"/>
      <c r="G59" s="197"/>
      <c r="H59" s="197"/>
      <c r="I59" s="197"/>
      <c r="J59" s="197"/>
      <c r="K59" s="197"/>
      <c r="L59" s="197"/>
    </row>
    <row r="60" spans="1:16" s="328" customFormat="1" ht="15">
      <c r="A60" s="204" t="s">
        <v>223</v>
      </c>
      <c r="B60" s="118">
        <v>90628268.459999993</v>
      </c>
      <c r="C60" s="118">
        <f>SUM(C42:C59)</f>
        <v>79506815.230000019</v>
      </c>
      <c r="D60" s="118">
        <f t="shared" ref="D60" si="6">SUM(D42:D59)</f>
        <v>82055735.070000008</v>
      </c>
      <c r="E60" s="118"/>
      <c r="F60" s="118"/>
      <c r="G60" s="118"/>
      <c r="H60" s="118"/>
      <c r="I60" s="118"/>
      <c r="J60" s="118"/>
      <c r="K60" s="118"/>
      <c r="L60" s="118"/>
      <c r="M60" s="327"/>
      <c r="N60" s="327"/>
      <c r="O60" s="217">
        <f>+C60/1000-'Income Statement Cash Flows'!E17</f>
        <v>0</v>
      </c>
      <c r="P60" s="217">
        <f>+D60/1000-'Income Statement Cash Flows'!F17</f>
        <v>0</v>
      </c>
    </row>
    <row r="61" spans="1:16" ht="15">
      <c r="A61" s="4" t="s">
        <v>224</v>
      </c>
      <c r="B61" s="119">
        <v>31670000.039999999</v>
      </c>
      <c r="C61" s="197">
        <f>[9]Power!I66</f>
        <v>33000000</v>
      </c>
      <c r="D61" s="197">
        <f>[9]Power!J66</f>
        <v>29000000</v>
      </c>
      <c r="E61" s="197"/>
      <c r="F61" s="197"/>
      <c r="G61" s="197"/>
      <c r="H61" s="197"/>
      <c r="I61" s="197"/>
      <c r="J61" s="197"/>
      <c r="K61" s="197"/>
      <c r="L61" s="197"/>
    </row>
    <row r="62" spans="1:16" ht="15">
      <c r="A62" s="4" t="s">
        <v>225</v>
      </c>
      <c r="B62" s="119">
        <v>10798745.039999999</v>
      </c>
      <c r="C62" s="197">
        <f>[9]Power!I67</f>
        <v>11942000</v>
      </c>
      <c r="D62" s="197">
        <f>[9]Power!J67</f>
        <v>12431000</v>
      </c>
      <c r="E62" s="197"/>
      <c r="F62" s="197"/>
      <c r="G62" s="197"/>
      <c r="H62" s="197"/>
      <c r="I62" s="197"/>
      <c r="J62" s="197"/>
      <c r="K62" s="197"/>
      <c r="L62" s="197"/>
    </row>
    <row r="63" spans="1:16" ht="15">
      <c r="A63" s="4" t="s">
        <v>226</v>
      </c>
      <c r="B63" s="119">
        <v>259999999.71999997</v>
      </c>
      <c r="C63" s="197">
        <f>[9]Power!I68</f>
        <v>247507739.06999978</v>
      </c>
      <c r="D63" s="197">
        <f>[9]Power!J68</f>
        <v>247195591.34999967</v>
      </c>
      <c r="E63" s="197"/>
      <c r="F63" s="197"/>
      <c r="G63" s="197"/>
      <c r="H63" s="197"/>
      <c r="I63" s="197"/>
      <c r="J63" s="197"/>
      <c r="K63" s="197"/>
      <c r="L63" s="197"/>
    </row>
    <row r="64" spans="1:16" s="328" customFormat="1" ht="15">
      <c r="A64" s="204" t="s">
        <v>227</v>
      </c>
      <c r="B64" s="118">
        <v>302468744.80000001</v>
      </c>
      <c r="C64" s="118">
        <f>SUM(C61:C63)</f>
        <v>292449739.06999981</v>
      </c>
      <c r="D64" s="118">
        <f t="shared" ref="D64" si="7">SUM(D61:D63)</f>
        <v>288626591.34999967</v>
      </c>
      <c r="E64" s="118"/>
      <c r="F64" s="118"/>
      <c r="G64" s="118"/>
      <c r="H64" s="118"/>
      <c r="I64" s="118"/>
      <c r="J64" s="118"/>
      <c r="K64" s="118"/>
      <c r="L64" s="118"/>
      <c r="M64" s="327"/>
      <c r="N64" s="327"/>
      <c r="O64" s="217">
        <f>+C64/1000-'Income Statement Cash Flows'!E19</f>
        <v>0</v>
      </c>
      <c r="P64" s="217">
        <f>+D64/1000-'Income Statement Cash Flows'!F19</f>
        <v>0</v>
      </c>
    </row>
    <row r="65" spans="1:16" s="328" customFormat="1" ht="15">
      <c r="A65" s="204" t="s">
        <v>475</v>
      </c>
      <c r="B65" s="118">
        <v>18819000</v>
      </c>
      <c r="C65" s="118">
        <f>[9]Power!I70</f>
        <v>18665833.02</v>
      </c>
      <c r="D65" s="118">
        <f>[9]Power!J70</f>
        <v>19353932.990000002</v>
      </c>
      <c r="E65" s="118"/>
      <c r="F65" s="118"/>
      <c r="G65" s="118"/>
      <c r="H65" s="118"/>
      <c r="I65" s="118"/>
      <c r="J65" s="118"/>
      <c r="K65" s="118"/>
      <c r="L65" s="118"/>
      <c r="M65" s="327"/>
      <c r="N65" s="327"/>
      <c r="O65" s="217"/>
      <c r="P65" s="218"/>
    </row>
    <row r="66" spans="1:16" ht="15">
      <c r="A66" s="329" t="s">
        <v>569</v>
      </c>
      <c r="B66" s="118"/>
      <c r="C66" s="197">
        <f>[9]Power!I71</f>
        <v>53216617.219999984</v>
      </c>
      <c r="D66" s="197">
        <f>[9]Power!J71</f>
        <v>53552286.779999971</v>
      </c>
      <c r="E66" s="197"/>
      <c r="F66" s="197"/>
      <c r="G66" s="197"/>
      <c r="H66" s="197"/>
      <c r="I66" s="197"/>
      <c r="J66" s="197"/>
      <c r="K66" s="197"/>
      <c r="L66" s="197"/>
    </row>
    <row r="67" spans="1:16" ht="15">
      <c r="A67" s="329" t="s">
        <v>732</v>
      </c>
      <c r="B67" s="118"/>
      <c r="C67" s="197">
        <f>[9]Power!I72</f>
        <v>2290515.8400000008</v>
      </c>
      <c r="D67" s="197">
        <f>[9]Power!J72</f>
        <v>2192459.88</v>
      </c>
      <c r="E67" s="197"/>
      <c r="F67" s="197"/>
      <c r="G67" s="197"/>
      <c r="H67" s="197"/>
      <c r="I67" s="197"/>
      <c r="J67" s="197"/>
      <c r="K67" s="197"/>
      <c r="L67" s="197"/>
    </row>
    <row r="68" spans="1:16" ht="15">
      <c r="A68" s="329" t="s">
        <v>733</v>
      </c>
      <c r="B68" s="118"/>
      <c r="C68" s="197">
        <f>[9]Power!I73</f>
        <v>319683.49999999988</v>
      </c>
      <c r="D68" s="197">
        <f>[9]Power!J73</f>
        <v>330289.06</v>
      </c>
      <c r="E68" s="197"/>
      <c r="F68" s="197"/>
      <c r="G68" s="197"/>
      <c r="H68" s="197"/>
      <c r="I68" s="197"/>
      <c r="J68" s="197"/>
      <c r="K68" s="197"/>
      <c r="L68" s="197"/>
    </row>
    <row r="69" spans="1:16" ht="15">
      <c r="A69" s="329" t="s">
        <v>734</v>
      </c>
      <c r="B69" s="118"/>
      <c r="C69" s="197">
        <f>[9]Power!I74</f>
        <v>2229772.5099999998</v>
      </c>
      <c r="D69" s="197">
        <f>[9]Power!J74</f>
        <v>2274196.5399999991</v>
      </c>
      <c r="E69" s="197"/>
      <c r="F69" s="197"/>
      <c r="G69" s="197"/>
      <c r="H69" s="197"/>
      <c r="I69" s="197"/>
      <c r="J69" s="197"/>
      <c r="K69" s="197"/>
      <c r="L69" s="197"/>
    </row>
    <row r="70" spans="1:16" ht="15">
      <c r="A70" s="329" t="s">
        <v>735</v>
      </c>
      <c r="B70" s="118"/>
      <c r="C70" s="197">
        <f>[9]Power!I75</f>
        <v>-2971499.28</v>
      </c>
      <c r="D70" s="197">
        <f>[9]Power!J75</f>
        <v>-2971499.28</v>
      </c>
      <c r="E70" s="197"/>
      <c r="F70" s="197"/>
      <c r="G70" s="197"/>
      <c r="H70" s="197"/>
      <c r="I70" s="197"/>
      <c r="J70" s="197"/>
      <c r="K70" s="197"/>
      <c r="L70" s="197"/>
    </row>
    <row r="71" spans="1:16" ht="15">
      <c r="A71" s="329" t="s">
        <v>570</v>
      </c>
      <c r="B71" s="118"/>
      <c r="C71" s="197">
        <f>[9]Power!I76</f>
        <v>11720049.380000001</v>
      </c>
      <c r="D71" s="197">
        <f>[9]Power!J76</f>
        <v>11783264.930000002</v>
      </c>
      <c r="E71" s="197"/>
      <c r="F71" s="197"/>
      <c r="G71" s="197"/>
      <c r="H71" s="197"/>
      <c r="I71" s="197"/>
      <c r="J71" s="197"/>
      <c r="K71" s="197"/>
      <c r="L71" s="197"/>
    </row>
    <row r="72" spans="1:16" s="330" customFormat="1" ht="15">
      <c r="A72" s="213" t="s">
        <v>476</v>
      </c>
      <c r="B72" s="213">
        <v>57824914.339999996</v>
      </c>
      <c r="C72" s="118">
        <f>SUM(C66:C71)</f>
        <v>66805139.169999987</v>
      </c>
      <c r="D72" s="118">
        <f t="shared" ref="D72" si="8">SUM(D66:D71)</f>
        <v>67160997.909999982</v>
      </c>
      <c r="E72" s="118"/>
      <c r="F72" s="118"/>
      <c r="G72" s="118"/>
      <c r="H72" s="118"/>
      <c r="I72" s="118"/>
      <c r="J72" s="118"/>
      <c r="K72" s="118"/>
      <c r="L72" s="118"/>
      <c r="O72" s="331">
        <f>+(C72+C65)/1000-'Income Statement Cash Flows'!E20</f>
        <v>0</v>
      </c>
      <c r="P72" s="331">
        <f>+(D72+D65)/1000-'Income Statement Cash Flows'!F20</f>
        <v>0</v>
      </c>
    </row>
    <row r="73" spans="1:16" s="330" customFormat="1" ht="15">
      <c r="A73" s="222" t="s">
        <v>571</v>
      </c>
      <c r="B73" s="213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O73" s="331"/>
      <c r="P73" s="331"/>
    </row>
    <row r="74" spans="1:16" s="330" customFormat="1" ht="15.75" thickBot="1">
      <c r="A74" s="213" t="s">
        <v>150</v>
      </c>
      <c r="B74" s="213">
        <v>1843496111.2</v>
      </c>
      <c r="C74" s="223">
        <f>C4+C5+C6+C13+C24+C25+C26+C36+C41+C60+C64+C65+C72+C73+C19+C16</f>
        <v>1859799552.55</v>
      </c>
      <c r="D74" s="223">
        <f t="shared" ref="D74" si="9">D4+D5+D6+D13+D24+D25+D26+D36+D41+D60+D64+D65+D72+D73+D19+D16</f>
        <v>1877449805.1699998</v>
      </c>
      <c r="E74" s="223"/>
      <c r="F74" s="223"/>
      <c r="G74" s="223"/>
      <c r="H74" s="223"/>
      <c r="I74" s="223"/>
      <c r="J74" s="223"/>
      <c r="K74" s="223"/>
      <c r="L74" s="223"/>
      <c r="M74" s="213"/>
      <c r="N74" s="213"/>
      <c r="O74" s="216"/>
      <c r="P74" s="331"/>
    </row>
    <row r="75" spans="1:16" s="330" customFormat="1">
      <c r="C75" s="119">
        <f>+C74-[9]Power!I$79</f>
        <v>-56121544.99000001</v>
      </c>
      <c r="D75" s="119">
        <f>+D74-[9]Power!J$79</f>
        <v>-42120612.970000029</v>
      </c>
      <c r="E75" s="119"/>
      <c r="F75" s="119"/>
      <c r="G75" s="119"/>
      <c r="H75" s="119"/>
      <c r="I75" s="119"/>
      <c r="J75" s="119"/>
      <c r="K75" s="119"/>
      <c r="L75" s="119"/>
      <c r="O75" s="331"/>
      <c r="P75" s="331"/>
    </row>
    <row r="76" spans="1:16">
      <c r="C76" s="214">
        <f>+C74-C24-C25-C41</f>
        <v>1342707656.5899999</v>
      </c>
      <c r="D76" s="214">
        <f t="shared" ref="D76" si="10">+D74-D24-D25-D41</f>
        <v>1365197161.2499998</v>
      </c>
      <c r="E76" s="214"/>
      <c r="F76" s="214"/>
      <c r="G76" s="214"/>
      <c r="H76" s="214"/>
      <c r="I76" s="214"/>
      <c r="J76" s="214"/>
      <c r="K76" s="214"/>
      <c r="L76" s="214"/>
    </row>
    <row r="77" spans="1:16">
      <c r="C77" s="214"/>
      <c r="D77" s="214"/>
    </row>
    <row r="78" spans="1:16">
      <c r="C78" s="214">
        <f>+C76-[9]Power!I$81</f>
        <v>54716560.990000248</v>
      </c>
      <c r="D78" s="214">
        <f>+D76-[9]Power!J$81</f>
        <v>55588256.880000114</v>
      </c>
      <c r="E78" s="214"/>
      <c r="F78" s="214"/>
      <c r="G78" s="214"/>
      <c r="H78" s="214"/>
      <c r="I78" s="214"/>
      <c r="J78" s="214"/>
      <c r="K78" s="214"/>
      <c r="L78" s="214"/>
    </row>
    <row r="79" spans="1:16">
      <c r="C79" s="214"/>
      <c r="D79" s="214"/>
    </row>
    <row r="80" spans="1:16">
      <c r="C80" s="214"/>
      <c r="D80" s="214"/>
    </row>
    <row r="81" spans="1:18">
      <c r="C81" s="214"/>
      <c r="D81" s="214"/>
    </row>
    <row r="82" spans="1:18">
      <c r="C82" s="214"/>
      <c r="D82" s="214"/>
    </row>
    <row r="84" spans="1:18">
      <c r="A84" s="4" t="s">
        <v>722</v>
      </c>
      <c r="C84" s="119">
        <v>4472000</v>
      </c>
      <c r="D84" s="119">
        <v>4650880</v>
      </c>
      <c r="O84" s="217">
        <v>7159816.0814346708</v>
      </c>
      <c r="P84" s="217">
        <v>7446208.7246920578</v>
      </c>
      <c r="Q84" s="119">
        <f t="shared" ref="Q84:R84" si="11">+P84*1.04</f>
        <v>7744057.0736797405</v>
      </c>
      <c r="R84" s="119">
        <f t="shared" si="11"/>
        <v>8053819.3566269306</v>
      </c>
    </row>
    <row r="86" spans="1:18">
      <c r="A86" s="4" t="s">
        <v>751</v>
      </c>
      <c r="C86" s="119">
        <f>+'[10]studies re-sort'!AA$89</f>
        <v>7265.5398000000005</v>
      </c>
      <c r="D86" s="119">
        <f>+'[10]studies re-sort'!AB$89</f>
        <v>3618.7538</v>
      </c>
    </row>
  </sheetData>
  <pageMargins left="0.25" right="0.25" top="0.75" bottom="0.75" header="0.3" footer="0.3"/>
  <pageSetup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59999389629810485"/>
  </sheetPr>
  <dimension ref="A1:H46"/>
  <sheetViews>
    <sheetView workbookViewId="0">
      <selection activeCell="E2" sqref="E2:H29"/>
    </sheetView>
  </sheetViews>
  <sheetFormatPr defaultRowHeight="12.75"/>
  <cols>
    <col min="1" max="1" width="34" style="6" customWidth="1"/>
    <col min="2" max="3" width="14" style="6" bestFit="1" customWidth="1"/>
    <col min="4" max="4" width="10.28515625" style="6" bestFit="1" customWidth="1"/>
    <col min="5" max="6" width="9.140625" style="6"/>
    <col min="7" max="8" width="15" style="6" bestFit="1" customWidth="1"/>
    <col min="9" max="16384" width="9.140625" style="6"/>
  </cols>
  <sheetData>
    <row r="1" spans="1:8">
      <c r="B1" s="105">
        <v>2020</v>
      </c>
      <c r="C1" s="105">
        <v>2021</v>
      </c>
      <c r="D1" s="105" t="s">
        <v>549</v>
      </c>
    </row>
    <row r="2" spans="1:8">
      <c r="A2" s="6" t="s">
        <v>436</v>
      </c>
      <c r="B2" s="110">
        <f>+'[11]Pro Forma - current rates'!$BB$89</f>
        <v>2879680.996992487</v>
      </c>
      <c r="C2" s="110">
        <f>+'[11]Pro Forma - current rates'!$BD$89</f>
        <v>2847294.6248635198</v>
      </c>
      <c r="G2" s="151"/>
    </row>
    <row r="3" spans="1:8">
      <c r="B3" s="138"/>
      <c r="C3" s="138"/>
      <c r="G3" s="151"/>
    </row>
    <row r="4" spans="1:8">
      <c r="A4" s="6" t="s">
        <v>435</v>
      </c>
      <c r="B4" s="110">
        <f>+'[12]Pro Forma - proposed rates'!$BB$89</f>
        <v>2792560.5650605187</v>
      </c>
      <c r="C4" s="110">
        <f>+'[12]Pro Forma - proposed rates'!$BD$89</f>
        <v>2756984.0391388019</v>
      </c>
    </row>
    <row r="5" spans="1:8">
      <c r="B5" s="14"/>
      <c r="C5" s="14"/>
    </row>
    <row r="6" spans="1:8">
      <c r="A6" s="151" t="s">
        <v>578</v>
      </c>
      <c r="B6" s="14">
        <v>265288</v>
      </c>
      <c r="C6" s="14">
        <v>265315</v>
      </c>
      <c r="G6" s="332"/>
      <c r="H6" s="332"/>
    </row>
    <row r="7" spans="1:8">
      <c r="A7" s="151" t="s">
        <v>579</v>
      </c>
      <c r="B7" s="14"/>
      <c r="C7" s="14"/>
    </row>
    <row r="8" spans="1:8">
      <c r="A8" s="151" t="s">
        <v>577</v>
      </c>
      <c r="B8" s="14">
        <f>+B6</f>
        <v>265288</v>
      </c>
      <c r="C8" s="14">
        <f>+C6</f>
        <v>265315</v>
      </c>
    </row>
    <row r="9" spans="1:8">
      <c r="B9" s="14"/>
      <c r="C9" s="14"/>
    </row>
    <row r="10" spans="1:8">
      <c r="B10" s="14"/>
      <c r="C10" s="14"/>
    </row>
    <row r="11" spans="1:8">
      <c r="A11" s="6" t="s">
        <v>434</v>
      </c>
      <c r="B11" s="333">
        <v>0</v>
      </c>
      <c r="C11" s="333">
        <v>0</v>
      </c>
      <c r="D11" s="137"/>
    </row>
    <row r="12" spans="1:8">
      <c r="A12" s="6" t="s">
        <v>433</v>
      </c>
      <c r="B12" s="14">
        <v>43266</v>
      </c>
      <c r="C12" s="14">
        <v>38088</v>
      </c>
      <c r="D12" s="137"/>
    </row>
    <row r="13" spans="1:8">
      <c r="A13" s="6" t="s">
        <v>551</v>
      </c>
      <c r="B13" s="333"/>
      <c r="C13" s="333"/>
      <c r="D13" s="137"/>
      <c r="E13" s="334"/>
    </row>
    <row r="14" spans="1:8" ht="15">
      <c r="A14" s="151" t="s">
        <v>554</v>
      </c>
      <c r="B14" s="237">
        <v>44324</v>
      </c>
      <c r="C14" s="237">
        <v>47041</v>
      </c>
      <c r="D14" s="14"/>
      <c r="F14" s="167"/>
      <c r="H14" s="167"/>
    </row>
    <row r="15" spans="1:8">
      <c r="A15" s="151" t="s">
        <v>150</v>
      </c>
      <c r="B15" s="14">
        <f>+B14+B13+B12+B11</f>
        <v>87590</v>
      </c>
      <c r="C15" s="14">
        <f>+C14+C13+C12+C11</f>
        <v>85129</v>
      </c>
      <c r="F15" s="167"/>
      <c r="H15" s="167"/>
    </row>
    <row r="16" spans="1:8">
      <c r="B16" s="14"/>
      <c r="C16" s="14"/>
    </row>
    <row r="17" spans="1:4">
      <c r="A17" s="6" t="s">
        <v>432</v>
      </c>
      <c r="B17" s="332">
        <f>+B19-B18</f>
        <v>79322.516999999993</v>
      </c>
      <c r="C17" s="332">
        <f>+C19-C18</f>
        <v>76007.516999999993</v>
      </c>
      <c r="D17" s="151"/>
    </row>
    <row r="18" spans="1:4">
      <c r="A18" s="6" t="s">
        <v>552</v>
      </c>
      <c r="B18" s="14">
        <v>32028.483</v>
      </c>
      <c r="C18" s="14">
        <v>32028.483</v>
      </c>
    </row>
    <row r="19" spans="1:4">
      <c r="B19" s="14">
        <v>111351</v>
      </c>
      <c r="C19" s="14">
        <v>108036</v>
      </c>
    </row>
    <row r="20" spans="1:4" ht="15.75">
      <c r="B20" s="335"/>
      <c r="C20" s="336"/>
    </row>
    <row r="21" spans="1:4">
      <c r="B21" s="14"/>
      <c r="C21" s="14"/>
    </row>
    <row r="22" spans="1:4">
      <c r="A22" s="6" t="s">
        <v>553</v>
      </c>
      <c r="B22" s="14">
        <f>+'[12]Pro Forma - proposed rates'!$BB$138</f>
        <v>1402.2494783968516</v>
      </c>
      <c r="C22" s="14">
        <f>+'[12]Pro Forma - proposed rates'!$BD$138</f>
        <v>2578.7556266264241</v>
      </c>
    </row>
    <row r="23" spans="1:4">
      <c r="B23" s="14"/>
      <c r="C23" s="14"/>
    </row>
    <row r="24" spans="1:4">
      <c r="B24" s="14">
        <v>23342000</v>
      </c>
      <c r="C24" s="14">
        <v>27328000</v>
      </c>
    </row>
    <row r="25" spans="1:4">
      <c r="B25" s="14"/>
      <c r="C25" s="14"/>
    </row>
    <row r="26" spans="1:4">
      <c r="B26" s="14"/>
      <c r="C26" s="14"/>
    </row>
    <row r="27" spans="1:4">
      <c r="B27" s="14"/>
      <c r="C27" s="14"/>
    </row>
    <row r="28" spans="1:4">
      <c r="A28" s="6" t="s">
        <v>576</v>
      </c>
      <c r="B28" s="14">
        <v>14723</v>
      </c>
      <c r="C28" s="14">
        <v>14809</v>
      </c>
    </row>
    <row r="29" spans="1:4">
      <c r="B29" s="14"/>
      <c r="C29" s="14"/>
    </row>
    <row r="30" spans="1:4">
      <c r="B30" s="14"/>
      <c r="C30" s="14"/>
    </row>
    <row r="31" spans="1:4">
      <c r="A31" s="151" t="s">
        <v>582</v>
      </c>
      <c r="B31" s="14">
        <v>31000</v>
      </c>
      <c r="C31" s="14">
        <f>+B31</f>
        <v>31000</v>
      </c>
    </row>
    <row r="46" ht="12" customHeight="1"/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theme="5" tint="0.59999389629810485"/>
  </sheetPr>
  <dimension ref="B1:BC69"/>
  <sheetViews>
    <sheetView zoomScaleNormal="100" workbookViewId="0">
      <selection activeCell="F2" sqref="F2:AD313"/>
    </sheetView>
  </sheetViews>
  <sheetFormatPr defaultRowHeight="12.75"/>
  <cols>
    <col min="1" max="1" width="9.140625" style="6"/>
    <col min="2" max="2" width="20.28515625" style="6" customWidth="1"/>
    <col min="3" max="3" width="13.140625" style="6" customWidth="1"/>
    <col min="4" max="4" width="11.85546875" style="6" bestFit="1" customWidth="1"/>
    <col min="5" max="27" width="11.28515625" style="6" bestFit="1" customWidth="1"/>
    <col min="28" max="30" width="9.5703125" style="6" bestFit="1" customWidth="1"/>
    <col min="31" max="16384" width="9.140625" style="6"/>
  </cols>
  <sheetData>
    <row r="1" spans="2:55" ht="42.75" customHeight="1">
      <c r="B1" s="161" t="s">
        <v>603</v>
      </c>
      <c r="C1" s="161"/>
      <c r="F1" s="161"/>
    </row>
    <row r="2" spans="2:55">
      <c r="C2" s="103">
        <v>2021</v>
      </c>
      <c r="D2" s="103">
        <v>2022</v>
      </c>
      <c r="E2" s="103">
        <v>2023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2:55">
      <c r="B3" s="103" t="s">
        <v>228</v>
      </c>
      <c r="C3" s="103"/>
      <c r="D3" s="148" t="s">
        <v>580</v>
      </c>
      <c r="E3" s="137"/>
      <c r="F3" s="137"/>
      <c r="G3" s="137"/>
      <c r="H3" s="137"/>
      <c r="I3" s="137"/>
      <c r="J3" s="137"/>
    </row>
    <row r="4" spans="2:55" s="150" customFormat="1">
      <c r="B4" s="150" t="s">
        <v>437</v>
      </c>
      <c r="C4" s="91">
        <f>+'[14]Federal Summary of Interest'!E$11+C10</f>
        <v>45730</v>
      </c>
      <c r="D4" s="91">
        <f>+'[14]Federal Summary of Interest'!F$11+D10</f>
        <v>43986</v>
      </c>
      <c r="E4" s="91">
        <f>+'[14]Federal Summary of Interest'!G$11+E10</f>
        <v>39113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</row>
    <row r="5" spans="2:55" s="150" customFormat="1">
      <c r="B5" s="150" t="s">
        <v>438</v>
      </c>
      <c r="C5" s="91">
        <f>+'[14]Federal Summary of Interest'!E$10</f>
        <v>42538</v>
      </c>
      <c r="D5" s="91">
        <f>+'[14]Federal Summary of Interest'!F$10</f>
        <v>38411</v>
      </c>
      <c r="E5" s="91">
        <f>+'[14]Federal Summary of Interest'!G$10</f>
        <v>38609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</row>
    <row r="6" spans="2:55" s="150" customFormat="1">
      <c r="B6" s="162" t="s">
        <v>548</v>
      </c>
      <c r="C6" s="5">
        <v>8862.5375136915791</v>
      </c>
      <c r="D6" s="5">
        <v>7853.9735706082802</v>
      </c>
      <c r="E6" s="5">
        <v>6798.6066230999504</v>
      </c>
      <c r="F6" s="5"/>
      <c r="G6" s="5"/>
      <c r="H6" s="5"/>
      <c r="I6" s="5"/>
      <c r="J6" s="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2:55" s="150" customFormat="1">
      <c r="B7" s="150" t="s">
        <v>439</v>
      </c>
      <c r="C7" s="150">
        <v>0</v>
      </c>
      <c r="D7" s="150">
        <v>0</v>
      </c>
      <c r="E7" s="150">
        <v>0</v>
      </c>
    </row>
    <row r="8" spans="2:55" s="150" customFormat="1">
      <c r="B8" s="162" t="s">
        <v>680</v>
      </c>
      <c r="C8" s="150">
        <f>+'[14]Federal Summary of Interest'!E$14+'[14]Federal Summary of Interest'!E$15+'[14]Federal Summary of Principal Pa'!D$15+'[14]Federal Summary of Principal Pa'!D$14</f>
        <v>0</v>
      </c>
      <c r="D8" s="150">
        <f>+'[14]Federal Summary of Interest'!F$14+'[14]Federal Summary of Interest'!F$15+'[14]Federal Summary of Principal Pa'!E$15+'[14]Federal Summary of Principal Pa'!E$14</f>
        <v>767</v>
      </c>
      <c r="E8" s="150">
        <f>+'[14]Federal Summary of Interest'!G$14+'[14]Federal Summary of Interest'!G$15+'[14]Federal Summary of Principal Pa'!F$15+'[14]Federal Summary of Principal Pa'!F$14</f>
        <v>1768</v>
      </c>
    </row>
    <row r="9" spans="2:55" s="150" customFormat="1"/>
    <row r="10" spans="2:55" s="150" customFormat="1">
      <c r="B10" s="104" t="s">
        <v>441</v>
      </c>
      <c r="C10" s="150">
        <f>+'[14]Federal Summary of Interest'!E$13</f>
        <v>255</v>
      </c>
      <c r="D10" s="150">
        <f>+'[14]Federal Summary of Interest'!F$13</f>
        <v>148</v>
      </c>
      <c r="E10" s="150">
        <f>+'[14]Federal Summary of Interest'!G$13</f>
        <v>179</v>
      </c>
    </row>
    <row r="11" spans="2:55" s="207" customFormat="1">
      <c r="B11" s="208" t="s">
        <v>718</v>
      </c>
      <c r="C11" s="207">
        <f>+C4+C5-C10-'[14]Federal Summary of Interest'!E$16</f>
        <v>0.10599999999976717</v>
      </c>
      <c r="D11" s="207">
        <f>+D4+D5-D10-'[14]Federal Summary of Interest'!F$16</f>
        <v>1.4980000000068685</v>
      </c>
      <c r="E11" s="207">
        <f>+E4+E5-E10-'[14]Federal Summary of Interest'!G$16</f>
        <v>-0.79600000000209548</v>
      </c>
    </row>
    <row r="12" spans="2:55" s="150" customFormat="1">
      <c r="B12" s="104" t="s">
        <v>440</v>
      </c>
    </row>
    <row r="13" spans="2:55" s="150" customFormat="1">
      <c r="B13" s="150" t="s">
        <v>438</v>
      </c>
      <c r="C13" s="150">
        <f>+'[14]Federal Summary of Principal Pa'!D$10</f>
        <v>95000</v>
      </c>
      <c r="D13" s="150">
        <f>+'[14]Federal Summary of Principal Pa'!E$10</f>
        <v>0</v>
      </c>
      <c r="E13" s="150">
        <f>+'[14]Federal Summary of Principal Pa'!F$10</f>
        <v>0</v>
      </c>
    </row>
    <row r="14" spans="2:55" s="150" customFormat="1">
      <c r="B14" s="150" t="s">
        <v>437</v>
      </c>
      <c r="C14" s="150">
        <f>+'[14]Federal Summary of Principal Pa'!D$11</f>
        <v>350100</v>
      </c>
      <c r="D14" s="150">
        <f>+'[14]Federal Summary of Principal Pa'!E$11</f>
        <v>495001</v>
      </c>
      <c r="E14" s="150">
        <f>+'[14]Federal Summary of Principal Pa'!F$11</f>
        <v>525000</v>
      </c>
    </row>
    <row r="15" spans="2:55" s="150" customFormat="1">
      <c r="B15" s="150" t="s">
        <v>180</v>
      </c>
      <c r="C15" s="150">
        <f>+'[14]Federal Summary of Principal Pa'!D$12</f>
        <v>22112</v>
      </c>
      <c r="D15" s="150">
        <f>+'[14]Federal Summary of Principal Pa'!E$12</f>
        <v>16060</v>
      </c>
      <c r="E15" s="150">
        <f>+'[14]Federal Summary of Principal Pa'!F$12</f>
        <v>12762</v>
      </c>
    </row>
    <row r="16" spans="2:55" s="150" customFormat="1">
      <c r="B16" s="150" t="s">
        <v>468</v>
      </c>
      <c r="C16" s="150">
        <v>30600</v>
      </c>
      <c r="D16" s="150">
        <v>30600</v>
      </c>
      <c r="E16" s="150">
        <v>30600</v>
      </c>
    </row>
    <row r="17" spans="2:30" s="150" customFormat="1">
      <c r="B17" s="150" t="s">
        <v>439</v>
      </c>
      <c r="C17" s="150">
        <v>0</v>
      </c>
      <c r="D17" s="150">
        <v>0</v>
      </c>
      <c r="E17" s="150">
        <v>0</v>
      </c>
    </row>
    <row r="18" spans="2:30" s="209" customFormat="1">
      <c r="B18" s="208" t="s">
        <v>718</v>
      </c>
      <c r="C18" s="210">
        <f>+C13+C14+C15-'[14]Federal Summary of Principal Pa'!D$16</f>
        <v>0.45899999997345731</v>
      </c>
      <c r="D18" s="210">
        <f>+D13+D14+D15-'[14]Federal Summary of Principal Pa'!E$16</f>
        <v>1.1209999999846332</v>
      </c>
      <c r="E18" s="210">
        <f>+E13+E14+E15-'[14]Federal Summary of Principal Pa'!F$16</f>
        <v>-8.4999999962747097E-2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</row>
    <row r="19" spans="2:30" ht="20.25" hidden="1">
      <c r="B19" s="166" t="s">
        <v>601</v>
      </c>
      <c r="C19" s="166"/>
      <c r="D19" s="166" t="s">
        <v>689</v>
      </c>
      <c r="F19" s="166"/>
    </row>
    <row r="20" spans="2:30" hidden="1"/>
    <row r="21" spans="2:30" s="103" customFormat="1" hidden="1">
      <c r="C21" s="103">
        <v>2021</v>
      </c>
      <c r="D21" s="103">
        <v>2022</v>
      </c>
      <c r="E21" s="103">
        <v>2023</v>
      </c>
    </row>
    <row r="22" spans="2:30" hidden="1">
      <c r="B22" s="103" t="s">
        <v>228</v>
      </c>
      <c r="C22" s="103"/>
      <c r="D22" s="148"/>
      <c r="E22" s="137"/>
    </row>
    <row r="23" spans="2:30" hidden="1">
      <c r="B23" s="150" t="s">
        <v>437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2:30" hidden="1">
      <c r="B24" s="150" t="s">
        <v>438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2:30" hidden="1">
      <c r="B25" s="162" t="s">
        <v>548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2:30" hidden="1">
      <c r="B26" s="150" t="s">
        <v>439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2:30" hidden="1">
      <c r="B27" s="15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2:30" hidden="1">
      <c r="B28" s="104" t="s">
        <v>441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2:30" hidden="1">
      <c r="B29" s="15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2:30" hidden="1">
      <c r="B30" s="104" t="s">
        <v>440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2:30" hidden="1">
      <c r="B31" s="150" t="s">
        <v>438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2:30" hidden="1">
      <c r="B32" s="150" t="s">
        <v>437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2:55" hidden="1">
      <c r="B33" s="150" t="s">
        <v>180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2:55" hidden="1">
      <c r="B34" s="150" t="s">
        <v>468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2:55" s="114" customFormat="1" hidden="1">
      <c r="B35" s="150" t="s">
        <v>439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136"/>
    </row>
    <row r="36" spans="2:55" s="114" customFormat="1" hidden="1">
      <c r="B36" s="135" t="s">
        <v>443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</row>
    <row r="37" spans="2:55">
      <c r="D37" s="137"/>
      <c r="E37" s="137"/>
    </row>
    <row r="38" spans="2:55">
      <c r="B38" s="163" t="s">
        <v>113</v>
      </c>
      <c r="C38" s="163"/>
      <c r="D38" s="150">
        <v>40000</v>
      </c>
      <c r="E38" s="150">
        <v>40000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</row>
    <row r="40" spans="2:55">
      <c r="C40" s="137"/>
    </row>
    <row r="41" spans="2:55" ht="18">
      <c r="B41" s="161" t="s">
        <v>602</v>
      </c>
      <c r="C41" s="161"/>
      <c r="F41" s="161"/>
    </row>
    <row r="42" spans="2:55">
      <c r="D42" s="103">
        <v>2020</v>
      </c>
      <c r="E42" s="103">
        <v>2021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2:55">
      <c r="B43" s="103" t="s">
        <v>228</v>
      </c>
      <c r="C43" s="103"/>
      <c r="D43" s="137"/>
      <c r="E43" s="137"/>
      <c r="F43" s="137"/>
      <c r="G43" s="137"/>
      <c r="H43" s="137"/>
      <c r="I43" s="137"/>
      <c r="J43" s="137"/>
      <c r="K43" s="137"/>
      <c r="L43" s="137"/>
    </row>
    <row r="44" spans="2:55" s="150" customFormat="1">
      <c r="B44" s="150" t="s">
        <v>437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</row>
    <row r="45" spans="2:55" s="150" customFormat="1">
      <c r="B45" s="150" t="s">
        <v>438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</row>
    <row r="46" spans="2:55" s="150" customFormat="1">
      <c r="B46" s="150" t="s">
        <v>548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2:55" s="150" customFormat="1">
      <c r="B47" s="150" t="s">
        <v>439</v>
      </c>
    </row>
    <row r="48" spans="2:55" s="150" customFormat="1"/>
    <row r="49" spans="2:39" s="150" customFormat="1">
      <c r="B49" s="104" t="s">
        <v>441</v>
      </c>
      <c r="C49" s="104"/>
    </row>
    <row r="50" spans="2:39" s="150" customFormat="1"/>
    <row r="51" spans="2:39" s="150" customFormat="1">
      <c r="B51" s="104" t="s">
        <v>440</v>
      </c>
      <c r="C51" s="104"/>
    </row>
    <row r="52" spans="2:39" s="150" customFormat="1">
      <c r="B52" s="150" t="s">
        <v>437</v>
      </c>
    </row>
    <row r="53" spans="2:39" s="150" customFormat="1">
      <c r="B53" s="150" t="s">
        <v>438</v>
      </c>
    </row>
    <row r="54" spans="2:39" s="150" customFormat="1">
      <c r="B54" s="150" t="s">
        <v>180</v>
      </c>
    </row>
    <row r="55" spans="2:39" s="150" customFormat="1">
      <c r="B55" s="150" t="s">
        <v>468</v>
      </c>
    </row>
    <row r="56" spans="2:39" s="150" customFormat="1">
      <c r="B56" s="150" t="s">
        <v>439</v>
      </c>
    </row>
    <row r="57" spans="2:39"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</row>
    <row r="59" spans="2:39">
      <c r="B59" s="164" t="s">
        <v>442</v>
      </c>
      <c r="C59" s="164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</row>
    <row r="60" spans="2:39">
      <c r="B60" s="164" t="s">
        <v>443</v>
      </c>
      <c r="C60" s="164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</row>
    <row r="62" spans="2:39">
      <c r="B62" s="163" t="s">
        <v>113</v>
      </c>
      <c r="C62" s="163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</row>
    <row r="68" spans="2:5">
      <c r="B68" s="153"/>
      <c r="C68" s="153"/>
      <c r="D68" s="103"/>
      <c r="E68" s="103"/>
    </row>
    <row r="69" spans="2:5">
      <c r="B69" s="153"/>
      <c r="C69" s="153"/>
      <c r="D69" s="165"/>
      <c r="E69" s="165"/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A1:AB120"/>
  <sheetViews>
    <sheetView topLeftCell="A84" zoomScale="90" zoomScaleNormal="90" workbookViewId="0">
      <selection activeCell="A94" sqref="A94"/>
    </sheetView>
  </sheetViews>
  <sheetFormatPr defaultRowHeight="12.75"/>
  <cols>
    <col min="1" max="1" width="25" style="6" bestFit="1" customWidth="1"/>
    <col min="2" max="2" width="5.42578125" style="6" customWidth="1"/>
    <col min="3" max="4" width="25" style="6" hidden="1" customWidth="1"/>
    <col min="5" max="7" width="18.7109375" style="6" customWidth="1"/>
    <col min="8" max="8" width="15.5703125" style="6" customWidth="1"/>
    <col min="9" max="9" width="15.7109375" style="6" bestFit="1" customWidth="1"/>
    <col min="10" max="10" width="15.140625" style="6" bestFit="1" customWidth="1"/>
    <col min="11" max="14" width="14.85546875" style="6" bestFit="1" customWidth="1"/>
    <col min="15" max="15" width="16.140625" style="6" bestFit="1" customWidth="1"/>
    <col min="16" max="20" width="14.85546875" style="6" bestFit="1" customWidth="1"/>
    <col min="21" max="29" width="14.5703125" style="6" customWidth="1"/>
    <col min="30" max="30" width="13.85546875" style="6" bestFit="1" customWidth="1"/>
    <col min="31" max="43" width="9.85546875" style="6" bestFit="1" customWidth="1"/>
    <col min="44" max="16384" width="9.140625" style="6"/>
  </cols>
  <sheetData>
    <row r="1" spans="1:28" ht="15">
      <c r="A1" s="211" t="s">
        <v>584</v>
      </c>
      <c r="B1" s="6">
        <f>+'Federal Capital Costs'!F1</f>
        <v>0</v>
      </c>
    </row>
    <row r="2" spans="1:28" ht="15">
      <c r="A2" s="211"/>
    </row>
    <row r="3" spans="1:28" ht="23.25">
      <c r="A3" s="344" t="s">
        <v>228</v>
      </c>
    </row>
    <row r="4" spans="1:28" ht="15">
      <c r="A4" s="211" t="s">
        <v>750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5">
      <c r="A5" s="211"/>
    </row>
    <row r="6" spans="1:28" ht="15">
      <c r="A6" s="211" t="s">
        <v>195</v>
      </c>
      <c r="D6" s="103"/>
      <c r="E6" s="103">
        <v>2021</v>
      </c>
      <c r="F6" s="103">
        <v>2022</v>
      </c>
      <c r="G6" s="103">
        <v>2023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15">
      <c r="A7" s="211" t="s">
        <v>196</v>
      </c>
      <c r="D7" s="14"/>
      <c r="E7" s="14">
        <f>SUM('[14]Non-Federal Summary of Interest'!E$26:E$28)</f>
        <v>36513.766000000003</v>
      </c>
      <c r="F7" s="14">
        <f>SUM('[14]Non-Federal Summary of Interest'!F$26:F$28)</f>
        <v>38892.256000000001</v>
      </c>
      <c r="G7" s="14">
        <f>SUM('[14]Non-Federal Summary of Interest'!G$26:G$28)</f>
        <v>39175.044000000002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5">
      <c r="A8" s="211" t="s">
        <v>585</v>
      </c>
      <c r="D8" s="14"/>
      <c r="E8" s="14">
        <f>SUM('[14]Non-Federal Summary of Interest'!E$20:E$25)</f>
        <v>136057.36500000002</v>
      </c>
      <c r="F8" s="14">
        <f>SUM('[14]Non-Federal Summary of Interest'!F$20:F$25)</f>
        <v>143631.69799999997</v>
      </c>
      <c r="G8" s="14">
        <f>SUM('[14]Non-Federal Summary of Interest'!G$20:G$25)</f>
        <v>136260.52299999999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5">
      <c r="A9" s="211" t="s">
        <v>493</v>
      </c>
      <c r="D9" s="14"/>
      <c r="E9" s="14">
        <f>+'[14]Non-Federal Summary of Interest'!E$15</f>
        <v>-4102.3710000000001</v>
      </c>
      <c r="F9" s="14">
        <f>+'[14]Non-Federal Summary of Interest'!F$15</f>
        <v>-3858.6550000000002</v>
      </c>
      <c r="G9" s="14">
        <f>+'[14]Non-Federal Summary of Interest'!G$15</f>
        <v>-3484.1570000000002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15">
      <c r="A10" s="211" t="s">
        <v>492</v>
      </c>
      <c r="D10" s="14"/>
      <c r="E10" s="14">
        <f>+'[14]Non-Federal Summary of Interest'!E$38</f>
        <v>324.88099999999997</v>
      </c>
      <c r="F10" s="14">
        <f>+'[14]Non-Federal Summary of Interest'!F$38</f>
        <v>323.41899999999998</v>
      </c>
      <c r="G10" s="14">
        <f>+'[14]Non-Federal Summary of Interest'!G$38</f>
        <v>321.62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15">
      <c r="A11" s="211" t="s">
        <v>695</v>
      </c>
      <c r="D11" s="14"/>
      <c r="E11" s="14">
        <f t="shared" ref="E11" si="0">-E94/1000</f>
        <v>-69110</v>
      </c>
      <c r="F11" s="14">
        <f t="shared" ref="F11:G11" si="1">-F94/1000</f>
        <v>-77926.486091305138</v>
      </c>
      <c r="G11" s="14">
        <f t="shared" si="1"/>
        <v>-73154.752743112113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15">
      <c r="A12" s="211" t="s">
        <v>491</v>
      </c>
      <c r="D12" s="14"/>
      <c r="E12" s="14">
        <f t="shared" ref="E12" si="2">SUM(E8:E11)</f>
        <v>63169.875</v>
      </c>
      <c r="F12" s="14">
        <f t="shared" ref="F12:G12" si="3">SUM(F8:F11)</f>
        <v>62169.975908694832</v>
      </c>
      <c r="G12" s="14">
        <f t="shared" si="3"/>
        <v>59943.233256887863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15">
      <c r="A13" s="211" t="s">
        <v>200</v>
      </c>
      <c r="D13" s="14"/>
      <c r="E13" s="14">
        <f>SUM('[14]Non-Federal Summary of Interest'!E$29:E$31)</f>
        <v>45513.572</v>
      </c>
      <c r="F13" s="14">
        <f>SUM('[14]Non-Federal Summary of Interest'!F$29:F$31)</f>
        <v>46118.244999999995</v>
      </c>
      <c r="G13" s="14">
        <f>SUM('[14]Non-Federal Summary of Interest'!G$29:G$31)</f>
        <v>46192.477000000006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15">
      <c r="A14" s="211" t="s">
        <v>198</v>
      </c>
      <c r="D14" s="14"/>
      <c r="E14" s="14">
        <f>+'[14]Non-Federal Summary of Interest'!E$36</f>
        <v>355.34300000000002</v>
      </c>
      <c r="F14" s="14">
        <f>+'[14]Non-Federal Summary of Interest'!F$36</f>
        <v>278.89299999999997</v>
      </c>
      <c r="G14" s="14">
        <f>+'[14]Non-Federal Summary of Interest'!G$36</f>
        <v>195.32300000000001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15">
      <c r="A15" s="211" t="s">
        <v>199</v>
      </c>
      <c r="D15" s="14"/>
      <c r="E15" s="14">
        <f>+'[14]Non-Federal Summary of Interest'!E$19</f>
        <v>3279.6219999999998</v>
      </c>
      <c r="F15" s="14">
        <f>+'[14]Non-Federal Summary of Interest'!F$19</f>
        <v>3078.6689999999999</v>
      </c>
      <c r="G15" s="14">
        <f>+'[14]Non-Federal Summary of Interest'!G$19</f>
        <v>2867.7190000000001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15">
      <c r="A16" s="211" t="s">
        <v>765</v>
      </c>
      <c r="D16" s="14"/>
      <c r="E16" s="14">
        <f>+E7+E12+E13+E14+E15-E11</f>
        <v>217942.17799999999</v>
      </c>
      <c r="F16" s="14">
        <f t="shared" ref="F16:G16" si="4">+F7+F12+F13+F14+F15-F11</f>
        <v>228464.52499999997</v>
      </c>
      <c r="G16" s="14">
        <f t="shared" si="4"/>
        <v>221528.549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15">
      <c r="A17" s="211" t="s">
        <v>766</v>
      </c>
      <c r="D17" s="14"/>
      <c r="E17" s="345">
        <f>E16+E11</f>
        <v>148832.17799999999</v>
      </c>
      <c r="F17" s="345">
        <f t="shared" ref="F17:G17" si="5">F16+F11</f>
        <v>150538.03890869481</v>
      </c>
      <c r="G17" s="345">
        <f t="shared" si="5"/>
        <v>148373.7962568879</v>
      </c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</row>
    <row r="18" spans="1:28" ht="14.25">
      <c r="A18" s="346" t="s">
        <v>708</v>
      </c>
      <c r="D18" s="14"/>
      <c r="E18" s="14">
        <f>+E16-'[14]Non-Federal Summary of Interest'!E$39</f>
        <v>0</v>
      </c>
      <c r="F18" s="14">
        <f>+F16-'[14]Non-Federal Summary of Interest'!F$39</f>
        <v>0</v>
      </c>
      <c r="G18" s="14">
        <f>+G16-'[14]Non-Federal Summary of Interest'!G$39</f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5">
      <c r="A19" s="211" t="s">
        <v>615</v>
      </c>
      <c r="I19" s="137"/>
    </row>
    <row r="20" spans="1:28" ht="15" hidden="1">
      <c r="A20" s="211"/>
    </row>
    <row r="21" spans="1:28" ht="15" hidden="1">
      <c r="A21" s="211" t="s">
        <v>614</v>
      </c>
    </row>
    <row r="22" spans="1:28" ht="15" hidden="1">
      <c r="A22" s="211"/>
    </row>
    <row r="23" spans="1:28" ht="15" hidden="1">
      <c r="A23" s="211" t="s">
        <v>195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" hidden="1">
      <c r="A24" s="211" t="s">
        <v>196</v>
      </c>
    </row>
    <row r="25" spans="1:28" ht="15" hidden="1">
      <c r="A25" s="211" t="s">
        <v>197</v>
      </c>
    </row>
    <row r="26" spans="1:28" ht="15" hidden="1">
      <c r="A26" s="211" t="s">
        <v>493</v>
      </c>
    </row>
    <row r="27" spans="1:28" ht="15" hidden="1">
      <c r="A27" s="211" t="s">
        <v>492</v>
      </c>
    </row>
    <row r="28" spans="1:28" ht="15" hidden="1">
      <c r="A28" s="211" t="s">
        <v>491</v>
      </c>
    </row>
    <row r="29" spans="1:28" ht="15" hidden="1">
      <c r="A29" s="211" t="s">
        <v>200</v>
      </c>
    </row>
    <row r="30" spans="1:28" ht="21.75" hidden="1" customHeight="1">
      <c r="A30" s="211" t="s">
        <v>198</v>
      </c>
    </row>
    <row r="31" spans="1:28" ht="15.75" hidden="1" customHeight="1">
      <c r="A31" s="211" t="s">
        <v>199</v>
      </c>
    </row>
    <row r="32" spans="1:28" ht="15.75" hidden="1" customHeight="1">
      <c r="A32" s="211" t="s">
        <v>150</v>
      </c>
    </row>
    <row r="33" spans="1:28" ht="15" hidden="1">
      <c r="A33" s="211"/>
    </row>
    <row r="34" spans="1:28" ht="15">
      <c r="A34" s="211"/>
    </row>
    <row r="35" spans="1:28" ht="23.25">
      <c r="A35" s="344" t="s">
        <v>440</v>
      </c>
    </row>
    <row r="36" spans="1:28" ht="15">
      <c r="A36" s="211" t="s">
        <v>750</v>
      </c>
    </row>
    <row r="37" spans="1:28" ht="15">
      <c r="A37" s="211"/>
    </row>
    <row r="38" spans="1:28" ht="15">
      <c r="A38" s="211" t="s">
        <v>195</v>
      </c>
      <c r="D38" s="103"/>
      <c r="E38" s="103">
        <v>2021</v>
      </c>
      <c r="F38" s="103">
        <v>2022</v>
      </c>
      <c r="G38" s="103">
        <v>2023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4" customFormat="1" ht="15">
      <c r="A39" s="211" t="s">
        <v>196</v>
      </c>
      <c r="E39" s="14">
        <f>SUM('[14]Non-Federal Summary of Principa'!D$27:D$29)</f>
        <v>98.75</v>
      </c>
      <c r="F39" s="14">
        <f>SUM('[14]Non-Federal Summary of Principa'!E$27:E$29)</f>
        <v>296.25</v>
      </c>
      <c r="G39" s="14">
        <f>SUM('[14]Non-Federal Summary of Principa'!F$27:F$29)</f>
        <v>0</v>
      </c>
    </row>
    <row r="40" spans="1:28" s="14" customFormat="1" ht="15">
      <c r="A40" s="211" t="s">
        <v>585</v>
      </c>
      <c r="E40" s="14">
        <f>SUM('[14]Non-Federal Summary of Principa'!D$21:D$26)</f>
        <v>95521.25</v>
      </c>
      <c r="F40" s="14">
        <f>SUM('[14]Non-Federal Summary of Principa'!E$21:E$26)</f>
        <v>59317.500000000007</v>
      </c>
      <c r="G40" s="14">
        <f>SUM('[14]Non-Federal Summary of Principa'!F$21:F$26)</f>
        <v>14925.000000000004</v>
      </c>
    </row>
    <row r="41" spans="1:28" s="14" customFormat="1" ht="15">
      <c r="A41" s="211" t="s">
        <v>490</v>
      </c>
      <c r="E41" s="14">
        <v>-81000</v>
      </c>
      <c r="F41" s="14">
        <v>-49500</v>
      </c>
    </row>
    <row r="42" spans="1:28" s="14" customFormat="1" ht="15">
      <c r="A42" s="211" t="s">
        <v>491</v>
      </c>
      <c r="E42" s="14">
        <f t="shared" ref="E42:G42" si="6">SUM(E40:E41)</f>
        <v>14521.25</v>
      </c>
      <c r="F42" s="14">
        <f t="shared" si="6"/>
        <v>9817.5000000000073</v>
      </c>
      <c r="G42" s="14">
        <f t="shared" si="6"/>
        <v>14925.000000000004</v>
      </c>
    </row>
    <row r="43" spans="1:28" s="14" customFormat="1" ht="15">
      <c r="A43" s="211" t="s">
        <v>200</v>
      </c>
      <c r="E43" s="14">
        <f>SUM('[14]Non-Federal Summary of Principa'!D$30:D$32)</f>
        <v>1785</v>
      </c>
      <c r="F43" s="14">
        <f>SUM('[14]Non-Federal Summary of Principa'!E$30:E$32)</f>
        <v>0</v>
      </c>
      <c r="G43" s="14">
        <f>SUM('[14]Non-Federal Summary of Principa'!F$30:F$32)</f>
        <v>0</v>
      </c>
    </row>
    <row r="44" spans="1:28" s="14" customFormat="1" ht="15">
      <c r="A44" s="211" t="s">
        <v>198</v>
      </c>
      <c r="E44" s="14">
        <f>+'[14]Non-Federal Summary of Principa'!D$37</f>
        <v>1593.1</v>
      </c>
      <c r="F44" s="14">
        <f>+'[14]Non-Federal Summary of Principa'!E$37</f>
        <v>1671.4</v>
      </c>
      <c r="G44" s="14">
        <f>+'[14]Non-Federal Summary of Principa'!F$37</f>
        <v>1751.4</v>
      </c>
    </row>
    <row r="45" spans="1:28" s="14" customFormat="1" ht="15">
      <c r="A45" s="211" t="s">
        <v>199</v>
      </c>
      <c r="E45" s="14">
        <f>+'[14]Non-Federal Summary of Principa'!D$20</f>
        <v>4020</v>
      </c>
      <c r="F45" s="14">
        <f>+'[14]Non-Federal Summary of Principa'!E$20</f>
        <v>4220</v>
      </c>
      <c r="G45" s="14">
        <f>+'[14]Non-Federal Summary of Principa'!F$20</f>
        <v>4435</v>
      </c>
    </row>
    <row r="46" spans="1:28" s="14" customFormat="1" ht="15">
      <c r="A46" s="211" t="s">
        <v>639</v>
      </c>
      <c r="E46" s="14">
        <f>+E39+E42+E43+E44+E45</f>
        <v>22018.1</v>
      </c>
      <c r="F46" s="14">
        <f>+F39+F42+F43+F44+F45</f>
        <v>16005.150000000007</v>
      </c>
      <c r="G46" s="14">
        <f t="shared" ref="G46" si="7">+G39+G42+G43+G44+G45</f>
        <v>21111.400000000005</v>
      </c>
    </row>
    <row r="47" spans="1:28" s="332" customFormat="1" ht="14.25">
      <c r="A47" s="346" t="s">
        <v>720</v>
      </c>
      <c r="E47" s="332">
        <v>0</v>
      </c>
      <c r="F47" s="332">
        <v>0</v>
      </c>
      <c r="G47" s="332">
        <v>0</v>
      </c>
    </row>
    <row r="48" spans="1:28" s="14" customFormat="1" ht="15">
      <c r="A48" s="211" t="s">
        <v>615</v>
      </c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</row>
    <row r="49" spans="1:28" s="14" customFormat="1" ht="15">
      <c r="A49" s="211" t="s">
        <v>636</v>
      </c>
      <c r="E49" s="14">
        <f>+'[14]Non-Federal Summary of Principa'!E$27</f>
        <v>395</v>
      </c>
      <c r="F49" s="14">
        <f>+'[14]Non-Federal Summary of Principa'!F$27</f>
        <v>0</v>
      </c>
      <c r="G49" s="14">
        <f>+'[14]Non-Federal Summary of Principa'!G$27</f>
        <v>0</v>
      </c>
    </row>
    <row r="50" spans="1:28" s="14" customFormat="1" ht="15">
      <c r="A50" s="211" t="s">
        <v>197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</row>
    <row r="51" spans="1:28" s="14" customFormat="1" ht="15">
      <c r="A51" s="211" t="s">
        <v>637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</row>
    <row r="52" spans="1:28" s="14" customFormat="1" ht="15">
      <c r="A52" s="211" t="s">
        <v>150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</row>
    <row r="53" spans="1:28" ht="15">
      <c r="A53" s="211" t="s">
        <v>638</v>
      </c>
      <c r="D53" s="137"/>
      <c r="E53" s="137">
        <f t="shared" ref="E53:G53" si="8">+E52+E46</f>
        <v>22018.1</v>
      </c>
      <c r="F53" s="137">
        <f>+F52+F46</f>
        <v>16005.150000000007</v>
      </c>
      <c r="G53" s="137">
        <f t="shared" si="8"/>
        <v>21111.400000000005</v>
      </c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</row>
    <row r="54" spans="1:28" ht="15">
      <c r="A54" s="211" t="s">
        <v>719</v>
      </c>
      <c r="D54" s="137"/>
      <c r="E54" s="137">
        <f>+E53-E41</f>
        <v>103018.1</v>
      </c>
      <c r="F54" s="137">
        <f>+F53-F41</f>
        <v>65505.150000000009</v>
      </c>
      <c r="G54" s="137">
        <f>+G53-G41</f>
        <v>21111.400000000005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</row>
    <row r="55" spans="1:28" s="209" customFormat="1" ht="14.25">
      <c r="A55" s="212" t="s">
        <v>720</v>
      </c>
      <c r="D55" s="137"/>
      <c r="E55" s="137">
        <f>+E54-'[14]Non-Federal Summary of Principa'!D$11</f>
        <v>0</v>
      </c>
      <c r="F55" s="137">
        <f>+F54-'[14]Non-Federal Summary of Principa'!E$11</f>
        <v>0</v>
      </c>
      <c r="G55" s="137">
        <f>+G54-'[14]Non-Federal Summary of Principa'!F$11</f>
        <v>0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</row>
    <row r="56" spans="1:28" ht="15">
      <c r="A56" s="211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</row>
    <row r="57" spans="1:28" ht="15">
      <c r="A57" s="211"/>
    </row>
    <row r="58" spans="1:28" ht="15" hidden="1">
      <c r="A58" s="211" t="s">
        <v>195</v>
      </c>
      <c r="D58" s="103"/>
      <c r="E58" s="103">
        <v>2021</v>
      </c>
      <c r="F58" s="103">
        <v>2022</v>
      </c>
      <c r="G58" s="103">
        <v>2023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" hidden="1">
      <c r="A59" s="211" t="s">
        <v>196</v>
      </c>
    </row>
    <row r="60" spans="1:28" ht="15" hidden="1">
      <c r="A60" s="211" t="s">
        <v>197</v>
      </c>
    </row>
    <row r="61" spans="1:28" ht="15" hidden="1">
      <c r="A61" s="211" t="s">
        <v>490</v>
      </c>
    </row>
    <row r="62" spans="1:28" ht="15" hidden="1">
      <c r="A62" s="211" t="s">
        <v>491</v>
      </c>
    </row>
    <row r="63" spans="1:28" ht="15" hidden="1">
      <c r="A63" s="211" t="s">
        <v>200</v>
      </c>
    </row>
    <row r="64" spans="1:28" ht="15" hidden="1">
      <c r="A64" s="211" t="s">
        <v>198</v>
      </c>
    </row>
    <row r="65" spans="1:28" ht="15" hidden="1">
      <c r="A65" s="211" t="s">
        <v>199</v>
      </c>
    </row>
    <row r="66" spans="1:28" ht="15" hidden="1">
      <c r="A66" s="211" t="s">
        <v>150</v>
      </c>
    </row>
    <row r="67" spans="1:28" ht="15" hidden="1">
      <c r="A67" s="211"/>
    </row>
    <row r="68" spans="1:28" ht="15" hidden="1">
      <c r="A68" s="211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</row>
    <row r="69" spans="1:28" ht="15" hidden="1">
      <c r="A69" s="211"/>
    </row>
    <row r="70" spans="1:28" ht="15" hidden="1">
      <c r="A70" s="211"/>
    </row>
    <row r="71" spans="1:28" ht="15" hidden="1">
      <c r="A71" s="211"/>
    </row>
    <row r="72" spans="1:28" ht="15">
      <c r="A72" s="211" t="s">
        <v>687</v>
      </c>
    </row>
    <row r="73" spans="1:28" ht="15">
      <c r="A73" s="211" t="s">
        <v>195</v>
      </c>
      <c r="D73" s="103"/>
      <c r="E73" s="103">
        <v>2021</v>
      </c>
      <c r="F73" s="103">
        <v>2022</v>
      </c>
      <c r="G73" s="103">
        <v>2023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s="14" customFormat="1" ht="14.25" customHeight="1">
      <c r="A74" s="211" t="s">
        <v>196</v>
      </c>
      <c r="E74" s="14">
        <f>+'[14]Non-Federal Summary of Principa'!D$27</f>
        <v>0</v>
      </c>
      <c r="F74" s="14">
        <f>+'[14]Non-Federal Summary of Principa'!E$27</f>
        <v>395</v>
      </c>
      <c r="G74" s="14">
        <f>+'[14]Non-Federal Summary of Principa'!F$27</f>
        <v>0</v>
      </c>
    </row>
    <row r="75" spans="1:28" s="14" customFormat="1" ht="15">
      <c r="A75" s="211" t="s">
        <v>585</v>
      </c>
      <c r="E75" s="14">
        <f>+'[14]Non-Federal Summary of Principa'!D$21+'[14]Non-Federal Summary of Principa'!D$24</f>
        <v>102445</v>
      </c>
      <c r="F75" s="14">
        <f>+'[14]Non-Federal Summary of Principa'!E$21+'[14]Non-Federal Summary of Principa'!E$24</f>
        <v>74750</v>
      </c>
      <c r="G75" s="14">
        <f>+'[14]Non-Federal Summary of Principa'!F$21+'[14]Non-Federal Summary of Principa'!F$24</f>
        <v>13020</v>
      </c>
    </row>
    <row r="76" spans="1:28" s="14" customFormat="1" ht="15">
      <c r="A76" s="211" t="s">
        <v>490</v>
      </c>
    </row>
    <row r="77" spans="1:28" s="14" customFormat="1" ht="15">
      <c r="A77" s="211" t="s">
        <v>491</v>
      </c>
    </row>
    <row r="78" spans="1:28" s="14" customFormat="1" ht="15">
      <c r="A78" s="211" t="s">
        <v>200</v>
      </c>
      <c r="E78" s="14">
        <f>+'[14]Non-Federal Summary of Principa'!D$30</f>
        <v>2380</v>
      </c>
      <c r="F78" s="14">
        <f>+'[14]Non-Federal Summary of Principa'!E$30</f>
        <v>0</v>
      </c>
      <c r="G78" s="14">
        <f>+'[14]Non-Federal Summary of Principa'!F$30</f>
        <v>0</v>
      </c>
    </row>
    <row r="79" spans="1:28" s="14" customFormat="1" ht="15">
      <c r="A79" s="211" t="s">
        <v>198</v>
      </c>
      <c r="E79" s="14">
        <f>+'[14]Non-Federal Summary of Principa'!D$34</f>
        <v>1535</v>
      </c>
      <c r="F79" s="14">
        <f>+'[14]Non-Federal Summary of Principa'!E$34</f>
        <v>1605</v>
      </c>
      <c r="G79" s="14">
        <f>+'[14]Non-Federal Summary of Principa'!F$34</f>
        <v>1685</v>
      </c>
    </row>
    <row r="80" spans="1:28" s="14" customFormat="1" ht="15">
      <c r="A80" s="211" t="s">
        <v>199</v>
      </c>
      <c r="E80" s="14">
        <f>+'[14]Non-Federal Summary of Principa'!D$17</f>
        <v>3830</v>
      </c>
      <c r="F80" s="14">
        <f>+'[14]Non-Federal Summary of Principa'!E$17</f>
        <v>4020</v>
      </c>
      <c r="G80" s="14">
        <f>+'[14]Non-Federal Summary of Principa'!F$17</f>
        <v>4220</v>
      </c>
    </row>
    <row r="81" spans="1:28" s="14" customFormat="1" ht="15">
      <c r="A81" s="211" t="s">
        <v>688</v>
      </c>
    </row>
    <row r="82" spans="1:28" s="14" customFormat="1" ht="15">
      <c r="A82" s="211" t="s">
        <v>150</v>
      </c>
      <c r="E82" s="14">
        <f t="shared" ref="E82:G82" si="9">SUM(E74:E81)</f>
        <v>110190</v>
      </c>
      <c r="F82" s="14">
        <f t="shared" si="9"/>
        <v>80770</v>
      </c>
      <c r="G82" s="14">
        <f t="shared" si="9"/>
        <v>18925</v>
      </c>
    </row>
    <row r="83" spans="1:28" s="209" customFormat="1" ht="14.25">
      <c r="A83" s="347" t="s">
        <v>721</v>
      </c>
      <c r="D83" s="210"/>
      <c r="E83" s="210">
        <f>+E82-'[14]Non-Federal Summary of Principa'!D$17-'[14]Non-Federal Summary of Principa'!D$21-'[14]Non-Federal Summary of Principa'!D$24-'[14]Non-Federal Summary of Principa'!D$27-'[14]Non-Federal Summary of Principa'!D$30-'[14]Non-Federal Summary of Principa'!D$34</f>
        <v>-6.3664629124104977E-12</v>
      </c>
      <c r="F83" s="210">
        <f>+F82-'[14]Non-Federal Summary of Principa'!E$17-'[14]Non-Federal Summary of Principa'!E$21-'[14]Non-Federal Summary of Principa'!E$24-'[14]Non-Federal Summary of Principa'!E$27-'[14]Non-Federal Summary of Principa'!E$30-'[14]Non-Federal Summary of Principa'!E$34</f>
        <v>0</v>
      </c>
      <c r="G83" s="210">
        <f>+G82-'[14]Non-Federal Summary of Principa'!F$17-'[14]Non-Federal Summary of Principa'!F$21-'[14]Non-Federal Summary of Principa'!F$24-'[14]Non-Federal Summary of Principa'!F$27-'[14]Non-Federal Summary of Principa'!F$30-'[14]Non-Federal Summary of Principa'!F$34</f>
        <v>0</v>
      </c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spans="1:28" ht="15">
      <c r="A84" s="211"/>
    </row>
    <row r="85" spans="1:28" ht="15">
      <c r="A85" s="211"/>
    </row>
    <row r="88" spans="1:28" ht="15">
      <c r="A88" s="6" t="s">
        <v>738</v>
      </c>
      <c r="D88" s="14"/>
      <c r="E88" s="348">
        <v>109593</v>
      </c>
      <c r="F88" s="348">
        <v>94333.617357866795</v>
      </c>
      <c r="G88" s="348">
        <v>118848.84643613591</v>
      </c>
      <c r="H88" s="348"/>
      <c r="I88" s="348"/>
      <c r="J88" s="348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8"/>
    </row>
    <row r="90" spans="1:28">
      <c r="A90" s="151" t="s">
        <v>709</v>
      </c>
    </row>
    <row r="92" spans="1:28">
      <c r="E92" s="6">
        <v>2021</v>
      </c>
      <c r="F92" s="6">
        <v>2022</v>
      </c>
      <c r="G92" s="6">
        <v>2023</v>
      </c>
    </row>
    <row r="93" spans="1:28">
      <c r="A93" s="151" t="s">
        <v>692</v>
      </c>
      <c r="C93" s="14"/>
      <c r="D93" s="14"/>
      <c r="E93" s="14">
        <v>81000000</v>
      </c>
      <c r="F93" s="332">
        <v>49500000</v>
      </c>
      <c r="G93" s="332">
        <v>0</v>
      </c>
      <c r="H93" s="332"/>
      <c r="I93" s="332"/>
      <c r="J93" s="332"/>
      <c r="K93" s="332"/>
      <c r="L93" s="332"/>
      <c r="M93" s="14"/>
      <c r="N93" s="14"/>
      <c r="O93" s="14"/>
      <c r="P93" s="14"/>
      <c r="Q93" s="14"/>
      <c r="R93" s="14"/>
    </row>
    <row r="94" spans="1:28">
      <c r="A94" s="6" t="s">
        <v>693</v>
      </c>
      <c r="C94" s="14"/>
      <c r="D94" s="14"/>
      <c r="E94" s="14">
        <v>69110000</v>
      </c>
      <c r="F94" s="332">
        <v>77926486.091305137</v>
      </c>
      <c r="G94" s="332">
        <v>73154752.743112117</v>
      </c>
      <c r="H94" s="332"/>
      <c r="I94" s="332"/>
      <c r="J94" s="332"/>
      <c r="K94" s="332"/>
      <c r="L94" s="332"/>
      <c r="M94" s="14"/>
      <c r="N94" s="14"/>
      <c r="O94" s="14"/>
      <c r="P94" s="14"/>
      <c r="Q94" s="14"/>
      <c r="R94" s="14"/>
    </row>
    <row r="95" spans="1:28" ht="25.5">
      <c r="A95" s="350" t="s">
        <v>694</v>
      </c>
      <c r="C95" s="14"/>
      <c r="D95" s="14"/>
      <c r="E95" s="14">
        <v>15885000</v>
      </c>
      <c r="F95" s="332">
        <v>15980000</v>
      </c>
      <c r="G95" s="332">
        <v>16775000</v>
      </c>
      <c r="H95" s="332"/>
      <c r="I95" s="332"/>
      <c r="J95" s="332"/>
      <c r="K95" s="332"/>
      <c r="L95" s="332"/>
      <c r="M95" s="14"/>
      <c r="N95" s="14"/>
      <c r="O95" s="14"/>
      <c r="P95" s="14"/>
      <c r="Q95" s="14"/>
      <c r="R95" s="14"/>
    </row>
    <row r="96" spans="1:28">
      <c r="A96" s="6" t="s">
        <v>150</v>
      </c>
      <c r="C96" s="137"/>
      <c r="D96" s="137"/>
      <c r="E96" s="137">
        <f t="shared" ref="E96" si="10">SUM(E93:E95)</f>
        <v>165995000</v>
      </c>
      <c r="F96" s="351">
        <v>143406486.09130514</v>
      </c>
      <c r="G96" s="351">
        <v>89929752.743112117</v>
      </c>
      <c r="H96" s="351"/>
      <c r="I96" s="351"/>
      <c r="J96" s="351"/>
      <c r="K96" s="351"/>
      <c r="L96" s="351"/>
      <c r="M96" s="137"/>
      <c r="N96" s="137"/>
      <c r="O96" s="137"/>
      <c r="P96" s="137"/>
      <c r="Q96" s="137"/>
      <c r="R96" s="137"/>
    </row>
    <row r="98" spans="1:27">
      <c r="P98" s="137"/>
    </row>
    <row r="99" spans="1:27">
      <c r="A99" s="151" t="s">
        <v>696</v>
      </c>
      <c r="D99" s="14"/>
      <c r="E99" s="14">
        <v>68000000</v>
      </c>
      <c r="F99" s="14">
        <v>86000000</v>
      </c>
      <c r="G99" s="14">
        <v>66000000</v>
      </c>
      <c r="H99" s="14"/>
      <c r="I99" s="14"/>
      <c r="J99" s="14"/>
    </row>
    <row r="102" spans="1:27">
      <c r="A102" s="151" t="s">
        <v>767</v>
      </c>
      <c r="E102" s="137">
        <f>+E88+E94/1000+E95/1000</f>
        <v>194588</v>
      </c>
      <c r="F102" s="137">
        <f t="shared" ref="F102:G102" si="11">+F88+F94/1000+F95/1000</f>
        <v>188240.10344917193</v>
      </c>
      <c r="G102" s="137">
        <f t="shared" si="11"/>
        <v>208778.59917924803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</row>
    <row r="107" spans="1:27">
      <c r="H107" s="137"/>
    </row>
    <row r="108" spans="1:27">
      <c r="H108" s="137"/>
    </row>
    <row r="109" spans="1:27">
      <c r="H109" s="137"/>
      <c r="M109" s="14"/>
    </row>
    <row r="110" spans="1:27">
      <c r="M110" s="14"/>
    </row>
    <row r="111" spans="1:27">
      <c r="M111" s="14"/>
    </row>
    <row r="112" spans="1:27">
      <c r="M112" s="14"/>
    </row>
    <row r="113" spans="1:13">
      <c r="M113" s="14"/>
    </row>
    <row r="114" spans="1:13">
      <c r="M114" s="14"/>
    </row>
    <row r="115" spans="1:13">
      <c r="M115" s="14"/>
    </row>
    <row r="116" spans="1:13">
      <c r="A116" s="151" t="s">
        <v>757</v>
      </c>
      <c r="M116" s="14"/>
    </row>
    <row r="117" spans="1:13">
      <c r="A117" s="151" t="s">
        <v>680</v>
      </c>
      <c r="F117" s="352">
        <f>+'[1]Premium EN'!$D$9/1000</f>
        <v>7561.5887000000002</v>
      </c>
      <c r="G117" s="352">
        <f>+'[1]Premium EN'!$D$10/1000</f>
        <v>7490.78532</v>
      </c>
      <c r="M117" s="14"/>
    </row>
    <row r="118" spans="1:13">
      <c r="A118" s="151" t="s">
        <v>758</v>
      </c>
      <c r="F118" s="352">
        <f>+'[1]Cost of Issuance EN'!$D$9/1000</f>
        <v>168.60468</v>
      </c>
      <c r="G118" s="352">
        <f>+'[1]Cost of Issuance EN'!$D$10/1000</f>
        <v>168.60468</v>
      </c>
      <c r="M118" s="14"/>
    </row>
    <row r="119" spans="1:13">
      <c r="M119" s="14"/>
    </row>
    <row r="120" spans="1:13">
      <c r="M120" s="14"/>
    </row>
  </sheetData>
  <phoneticPr fontId="42" type="noConversion"/>
  <pageMargins left="0.75" right="0.75" top="1" bottom="1" header="0.5" footer="0.5"/>
  <pageSetup scale="1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</sheetPr>
  <dimension ref="A2:Z146"/>
  <sheetViews>
    <sheetView topLeftCell="A64" zoomScale="98" zoomScaleNormal="98" workbookViewId="0">
      <selection activeCell="A86" sqref="A86:E87"/>
    </sheetView>
  </sheetViews>
  <sheetFormatPr defaultRowHeight="12.75"/>
  <cols>
    <col min="1" max="1" width="5.140625" style="353" customWidth="1"/>
    <col min="2" max="2" width="39.42578125" style="6" customWidth="1"/>
    <col min="3" max="3" width="12.28515625" style="6" bestFit="1" customWidth="1"/>
    <col min="4" max="4" width="11.5703125" style="6" bestFit="1" customWidth="1"/>
    <col min="5" max="5" width="13.140625" style="6" customWidth="1"/>
    <col min="6" max="9" width="11.5703125" style="6" bestFit="1" customWidth="1"/>
    <col min="10" max="10" width="11.42578125" style="6" customWidth="1"/>
    <col min="11" max="11" width="11.5703125" style="6" customWidth="1"/>
    <col min="12" max="13" width="11.85546875" style="6" customWidth="1"/>
    <col min="14" max="15" width="11.7109375" style="6" bestFit="1" customWidth="1"/>
    <col min="16" max="19" width="13.28515625" style="6" bestFit="1" customWidth="1"/>
    <col min="20" max="20" width="10.28515625" style="6" bestFit="1" customWidth="1"/>
    <col min="21" max="26" width="11" style="6" bestFit="1" customWidth="1"/>
    <col min="27" max="16384" width="9.140625" style="6"/>
  </cols>
  <sheetData>
    <row r="2" spans="1:26">
      <c r="B2" s="354" t="s">
        <v>157</v>
      </c>
      <c r="C2" s="355"/>
      <c r="D2" s="355"/>
      <c r="E2" s="355"/>
      <c r="F2" s="355"/>
      <c r="G2" s="355"/>
      <c r="H2" s="355"/>
    </row>
    <row r="3" spans="1:26">
      <c r="B3" s="354" t="s">
        <v>249</v>
      </c>
      <c r="C3" s="355"/>
      <c r="D3" s="355"/>
      <c r="E3" s="355"/>
      <c r="F3" s="355"/>
      <c r="G3" s="355"/>
      <c r="H3" s="355"/>
    </row>
    <row r="5" spans="1:26">
      <c r="C5" s="105" t="s">
        <v>159</v>
      </c>
      <c r="D5" s="105" t="s">
        <v>160</v>
      </c>
      <c r="E5" s="105" t="s">
        <v>161</v>
      </c>
      <c r="F5" s="105" t="s">
        <v>162</v>
      </c>
      <c r="G5" s="105" t="s">
        <v>163</v>
      </c>
      <c r="H5" s="105" t="s">
        <v>164</v>
      </c>
    </row>
    <row r="6" spans="1:26">
      <c r="C6" s="356">
        <v>2022</v>
      </c>
      <c r="D6" s="356">
        <f>+C6+1</f>
        <v>2023</v>
      </c>
      <c r="E6" s="356">
        <f t="shared" ref="E6:Q6" si="0">+D6+1</f>
        <v>2024</v>
      </c>
      <c r="F6" s="356">
        <f t="shared" si="0"/>
        <v>2025</v>
      </c>
      <c r="G6" s="356">
        <f t="shared" si="0"/>
        <v>2026</v>
      </c>
      <c r="H6" s="356">
        <f t="shared" si="0"/>
        <v>2027</v>
      </c>
      <c r="I6" s="356">
        <f t="shared" si="0"/>
        <v>2028</v>
      </c>
      <c r="J6" s="356">
        <f t="shared" si="0"/>
        <v>2029</v>
      </c>
      <c r="K6" s="356">
        <f t="shared" si="0"/>
        <v>2030</v>
      </c>
      <c r="L6" s="356">
        <f t="shared" si="0"/>
        <v>2031</v>
      </c>
      <c r="M6" s="356">
        <f t="shared" si="0"/>
        <v>2032</v>
      </c>
      <c r="N6" s="356">
        <f t="shared" si="0"/>
        <v>2033</v>
      </c>
      <c r="O6" s="356">
        <f t="shared" si="0"/>
        <v>2034</v>
      </c>
      <c r="P6" s="356">
        <f t="shared" si="0"/>
        <v>2035</v>
      </c>
      <c r="Q6" s="356">
        <f t="shared" si="0"/>
        <v>2036</v>
      </c>
      <c r="R6" s="356"/>
      <c r="S6" s="356"/>
      <c r="T6" s="356"/>
      <c r="U6" s="356"/>
      <c r="V6" s="356"/>
      <c r="W6" s="356"/>
      <c r="X6" s="356"/>
      <c r="Y6" s="356"/>
      <c r="Z6" s="356"/>
    </row>
    <row r="7" spans="1:26" ht="18.75" customHeight="1">
      <c r="A7" s="357">
        <v>1</v>
      </c>
      <c r="B7" s="358" t="s">
        <v>607</v>
      </c>
      <c r="C7" s="14">
        <v>586596.31877999997</v>
      </c>
      <c r="D7" s="14">
        <f>+C7</f>
        <v>586596.31877999997</v>
      </c>
      <c r="E7" s="14">
        <f t="shared" ref="E7:Q7" si="1">+D7</f>
        <v>586596.31877999997</v>
      </c>
      <c r="F7" s="14">
        <f t="shared" si="1"/>
        <v>586596.31877999997</v>
      </c>
      <c r="G7" s="14">
        <f t="shared" si="1"/>
        <v>586596.31877999997</v>
      </c>
      <c r="H7" s="14">
        <f t="shared" si="1"/>
        <v>586596.31877999997</v>
      </c>
      <c r="I7" s="14">
        <f t="shared" si="1"/>
        <v>586596.31877999997</v>
      </c>
      <c r="J7" s="14">
        <f t="shared" si="1"/>
        <v>586596.31877999997</v>
      </c>
      <c r="K7" s="14">
        <f t="shared" si="1"/>
        <v>586596.31877999997</v>
      </c>
      <c r="L7" s="14">
        <f t="shared" si="1"/>
        <v>586596.31877999997</v>
      </c>
      <c r="M7" s="14">
        <f t="shared" si="1"/>
        <v>586596.31877999997</v>
      </c>
      <c r="N7" s="14">
        <f t="shared" si="1"/>
        <v>586596.31877999997</v>
      </c>
      <c r="O7" s="14">
        <f t="shared" si="1"/>
        <v>586596.31877999997</v>
      </c>
      <c r="P7" s="14">
        <f t="shared" si="1"/>
        <v>586596.31877999997</v>
      </c>
      <c r="Q7" s="14">
        <f t="shared" si="1"/>
        <v>586596.31877999997</v>
      </c>
      <c r="R7" s="14"/>
      <c r="S7" s="14"/>
      <c r="T7" s="14"/>
      <c r="U7" s="14"/>
      <c r="V7" s="14"/>
      <c r="W7" s="14"/>
      <c r="X7" s="14"/>
      <c r="Y7" s="14"/>
      <c r="Z7" s="14"/>
    </row>
    <row r="8" spans="1:26" s="102" customFormat="1">
      <c r="A8" s="357">
        <v>2</v>
      </c>
      <c r="B8" s="359" t="s">
        <v>165</v>
      </c>
      <c r="C8" s="160">
        <v>2.3590297968554426E-3</v>
      </c>
      <c r="D8" s="160">
        <v>2.1057338196330158E-3</v>
      </c>
      <c r="E8" s="160">
        <v>1.8499666080355895E-3</v>
      </c>
      <c r="F8" s="160">
        <v>1.6756167714381631E-3</v>
      </c>
      <c r="G8" s="160">
        <v>1.7110315442157367E-3</v>
      </c>
      <c r="H8" s="160">
        <v>2.1622787544933104E-3</v>
      </c>
      <c r="I8" s="160">
        <v>2.9933380741458842E-3</v>
      </c>
      <c r="J8" s="160">
        <v>4.3024502772708835E-3</v>
      </c>
      <c r="K8" s="160">
        <v>5.4793765272708852E-3</v>
      </c>
      <c r="L8" s="160">
        <v>6.3646826210208849E-3</v>
      </c>
      <c r="M8" s="160">
        <v>7.0027846522708855E-3</v>
      </c>
      <c r="N8" s="160">
        <v>7.3686279335208847E-3</v>
      </c>
      <c r="O8" s="160">
        <v>7.4412280897708837E-3</v>
      </c>
      <c r="P8" s="160">
        <v>7.4400488710208842E-3</v>
      </c>
      <c r="Q8" s="160">
        <v>7.4391651210208845E-3</v>
      </c>
      <c r="R8" s="102">
        <v>7.4389657460208845E-3</v>
      </c>
      <c r="S8" s="148">
        <v>7.438964496020886E-3</v>
      </c>
      <c r="T8" s="102">
        <v>7.4389651210208848E-3</v>
      </c>
      <c r="U8" s="102">
        <v>7.4389676210208843E-3</v>
      </c>
      <c r="V8" s="102">
        <v>7.4389721522708837E-3</v>
      </c>
      <c r="W8" s="102">
        <v>7.4389705897708845E-3</v>
      </c>
      <c r="X8" s="102">
        <v>7.4389659022708852E-3</v>
      </c>
      <c r="Y8" s="102">
        <v>7.4389646522708842E-3</v>
      </c>
    </row>
    <row r="9" spans="1:26" ht="25.5" customHeight="1">
      <c r="A9" s="357">
        <v>3</v>
      </c>
      <c r="B9" s="360" t="s">
        <v>608</v>
      </c>
      <c r="C9" s="137">
        <f>-C7*C8</f>
        <v>-1383.7981947277337</v>
      </c>
      <c r="D9" s="137">
        <f>-D7*D8</f>
        <v>-1235.2157069272755</v>
      </c>
      <c r="E9" s="137">
        <f>-E7*E8</f>
        <v>-1085.1836021396</v>
      </c>
      <c r="F9" s="137">
        <f t="shared" ref="F9:Q9" si="2">-F7*F8</f>
        <v>-982.9106298116551</v>
      </c>
      <c r="G9" s="137">
        <f t="shared" si="2"/>
        <v>-1003.6848051534099</v>
      </c>
      <c r="H9" s="137">
        <f t="shared" si="2"/>
        <v>-1268.3847575619793</v>
      </c>
      <c r="I9" s="137">
        <f t="shared" si="2"/>
        <v>-1755.8810951579903</v>
      </c>
      <c r="J9" s="137">
        <f t="shared" si="2"/>
        <v>-2523.8014943810904</v>
      </c>
      <c r="K9" s="137">
        <f t="shared" si="2"/>
        <v>-3214.1821001066414</v>
      </c>
      <c r="L9" s="137">
        <f t="shared" si="2"/>
        <v>-3733.4993956938929</v>
      </c>
      <c r="M9" s="137">
        <f>-M7*M8</f>
        <v>-4107.8076982311832</v>
      </c>
      <c r="N9" s="137">
        <f t="shared" si="2"/>
        <v>-4322.4100202628297</v>
      </c>
      <c r="O9" s="137">
        <f t="shared" si="2"/>
        <v>-4364.9970046619319</v>
      </c>
      <c r="P9" s="137">
        <f t="shared" si="2"/>
        <v>-4364.3052792841454</v>
      </c>
      <c r="Q9" s="137">
        <f t="shared" si="2"/>
        <v>-4363.7868747874236</v>
      </c>
      <c r="R9" s="137"/>
      <c r="S9" s="137"/>
      <c r="T9" s="137"/>
      <c r="U9" s="137"/>
      <c r="V9" s="137"/>
      <c r="W9" s="137"/>
      <c r="X9" s="137"/>
      <c r="Y9" s="137"/>
      <c r="Z9" s="137"/>
    </row>
    <row r="10" spans="1:26">
      <c r="A10" s="357">
        <v>4</v>
      </c>
      <c r="B10" s="316" t="s">
        <v>166</v>
      </c>
      <c r="C10" s="137">
        <f>-C38</f>
        <v>-1469.3985470571276</v>
      </c>
      <c r="D10" s="137">
        <f t="shared" ref="D10:Q10" si="3">-D38</f>
        <v>-1423.7938416182892</v>
      </c>
      <c r="E10" s="137">
        <f>-E38</f>
        <v>-1122.2728372648185</v>
      </c>
      <c r="F10" s="137">
        <f t="shared" si="3"/>
        <v>-1016.5043953129803</v>
      </c>
      <c r="G10" s="137">
        <f t="shared" si="3"/>
        <v>-1037.9885871646268</v>
      </c>
      <c r="H10" s="137">
        <f t="shared" si="3"/>
        <v>-1311.7354130729052</v>
      </c>
      <c r="I10" s="137">
        <f t="shared" si="3"/>
        <v>-1815.8933241133841</v>
      </c>
      <c r="J10" s="137">
        <f t="shared" si="3"/>
        <v>-2610.0595864218481</v>
      </c>
      <c r="K10" s="137">
        <f t="shared" si="3"/>
        <v>-3324.0359123196904</v>
      </c>
      <c r="L10" s="137">
        <f t="shared" si="3"/>
        <v>-3861.102353067864</v>
      </c>
      <c r="M10" s="137">
        <f t="shared" si="3"/>
        <v>-4248.2037061219107</v>
      </c>
      <c r="N10" s="137">
        <f t="shared" si="3"/>
        <v>-4470.1406726916384</v>
      </c>
      <c r="O10" s="137">
        <f t="shared" si="3"/>
        <v>-4514.183188370921</v>
      </c>
      <c r="P10" s="137">
        <f t="shared" si="3"/>
        <v>-4513.4678213115531</v>
      </c>
      <c r="Q10" s="137">
        <f t="shared" si="3"/>
        <v>-4512.9316988671671</v>
      </c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26.25" customHeight="1">
      <c r="A11" s="357">
        <v>6</v>
      </c>
      <c r="B11" s="360" t="s">
        <v>609</v>
      </c>
      <c r="C11" s="137">
        <f>+C10-C9</f>
        <v>-85.6003523293939</v>
      </c>
      <c r="D11" s="137">
        <f t="shared" ref="D11:Q11" si="4">+D10-D9</f>
        <v>-188.5781346910137</v>
      </c>
      <c r="E11" s="137">
        <f t="shared" si="4"/>
        <v>-37.089235125218465</v>
      </c>
      <c r="F11" s="137">
        <f t="shared" si="4"/>
        <v>-33.593765501325151</v>
      </c>
      <c r="G11" s="137">
        <f t="shared" si="4"/>
        <v>-34.303782011216867</v>
      </c>
      <c r="H11" s="137">
        <f t="shared" si="4"/>
        <v>-43.35065551092589</v>
      </c>
      <c r="I11" s="137">
        <f t="shared" si="4"/>
        <v>-60.012228955393766</v>
      </c>
      <c r="J11" s="137">
        <f t="shared" si="4"/>
        <v>-86.258092040757674</v>
      </c>
      <c r="K11" s="137">
        <f t="shared" si="4"/>
        <v>-109.85381221304897</v>
      </c>
      <c r="L11" s="137">
        <f t="shared" si="4"/>
        <v>-127.60295737397109</v>
      </c>
      <c r="M11" s="137">
        <f t="shared" si="4"/>
        <v>-140.39600789072756</v>
      </c>
      <c r="N11" s="137">
        <f t="shared" si="4"/>
        <v>-147.73065242880875</v>
      </c>
      <c r="O11" s="137">
        <f t="shared" si="4"/>
        <v>-149.18618370898912</v>
      </c>
      <c r="P11" s="137">
        <f t="shared" si="4"/>
        <v>-149.16254202740765</v>
      </c>
      <c r="Q11" s="137">
        <f t="shared" si="4"/>
        <v>-149.14482407974356</v>
      </c>
      <c r="R11" s="137"/>
      <c r="S11" s="137"/>
      <c r="U11" s="137"/>
      <c r="V11" s="137"/>
      <c r="W11" s="137"/>
      <c r="X11" s="137"/>
      <c r="Y11" s="137"/>
      <c r="Z11" s="137"/>
    </row>
    <row r="13" spans="1:26">
      <c r="B13" s="36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B14" s="361"/>
      <c r="C14" s="19"/>
      <c r="D14" s="19"/>
      <c r="E14" s="19"/>
      <c r="F14" s="19"/>
      <c r="G14" s="19"/>
      <c r="H14" s="19">
        <v>95708.602872435091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393" t="s">
        <v>416</v>
      </c>
      <c r="B15" s="393"/>
      <c r="C15" s="393"/>
      <c r="D15" s="393"/>
      <c r="E15" s="393"/>
      <c r="F15" s="19"/>
      <c r="G15" s="19"/>
      <c r="H15" s="19">
        <v>308869.16310289444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393" t="s">
        <v>249</v>
      </c>
      <c r="B16" s="393"/>
      <c r="C16" s="393"/>
      <c r="D16" s="393"/>
      <c r="E16" s="39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0"/>
      <c r="V16" s="19"/>
      <c r="W16" s="19"/>
      <c r="X16" s="19"/>
      <c r="Y16" s="19"/>
      <c r="Z16" s="19"/>
    </row>
    <row r="17" spans="1:26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V17" s="19"/>
      <c r="W17" s="19"/>
      <c r="X17" s="19"/>
      <c r="Y17" s="19"/>
      <c r="Z17" s="19"/>
    </row>
    <row r="18" spans="1:26">
      <c r="B18" s="19"/>
      <c r="C18" s="362" t="s">
        <v>159</v>
      </c>
      <c r="D18" s="362" t="s">
        <v>160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V18" s="19"/>
      <c r="W18" s="19"/>
      <c r="X18" s="19"/>
      <c r="Y18" s="19"/>
      <c r="Z18" s="19"/>
    </row>
    <row r="19" spans="1:26">
      <c r="C19" s="356">
        <f t="shared" ref="C19:Q19" si="5">C6</f>
        <v>2022</v>
      </c>
      <c r="D19" s="356">
        <f t="shared" si="5"/>
        <v>2023</v>
      </c>
      <c r="E19" s="356">
        <f t="shared" si="5"/>
        <v>2024</v>
      </c>
      <c r="F19" s="356">
        <f t="shared" si="5"/>
        <v>2025</v>
      </c>
      <c r="G19" s="356">
        <f t="shared" si="5"/>
        <v>2026</v>
      </c>
      <c r="H19" s="356">
        <f t="shared" si="5"/>
        <v>2027</v>
      </c>
      <c r="I19" s="356">
        <f t="shared" si="5"/>
        <v>2028</v>
      </c>
      <c r="J19" s="356">
        <f t="shared" si="5"/>
        <v>2029</v>
      </c>
      <c r="K19" s="356">
        <f t="shared" si="5"/>
        <v>2030</v>
      </c>
      <c r="L19" s="356">
        <f t="shared" si="5"/>
        <v>2031</v>
      </c>
      <c r="M19" s="356">
        <f t="shared" si="5"/>
        <v>2032</v>
      </c>
      <c r="N19" s="356">
        <f t="shared" si="5"/>
        <v>2033</v>
      </c>
      <c r="O19" s="356">
        <f t="shared" si="5"/>
        <v>2034</v>
      </c>
      <c r="P19" s="356">
        <f t="shared" si="5"/>
        <v>2035</v>
      </c>
      <c r="Q19" s="356">
        <f t="shared" si="5"/>
        <v>2036</v>
      </c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s="22" customFormat="1">
      <c r="A20" s="164">
        <v>1</v>
      </c>
      <c r="B20" s="22" t="s">
        <v>193</v>
      </c>
      <c r="C20" s="21">
        <f>+'Income Statement Cash Flows'!E95</f>
        <v>31000</v>
      </c>
      <c r="D20" s="21">
        <f>+'Income Statement Cash Flows'!F95</f>
        <v>31000</v>
      </c>
      <c r="E20" s="21">
        <f>+'Income Statement Cash Flows'!G95</f>
        <v>0</v>
      </c>
      <c r="F20" s="21">
        <f>+'Income Statement Cash Flows'!H95</f>
        <v>0</v>
      </c>
      <c r="G20" s="21">
        <f>+'Income Statement Cash Flows'!I95</f>
        <v>0</v>
      </c>
      <c r="H20" s="21">
        <f>+'Income Statement Cash Flows'!J95</f>
        <v>0</v>
      </c>
      <c r="I20" s="21">
        <f>+'Income Statement Cash Flows'!K95</f>
        <v>0</v>
      </c>
      <c r="J20" s="21">
        <f>+'Income Statement Cash Flows'!L95</f>
        <v>0</v>
      </c>
      <c r="K20" s="21">
        <f>+'Income Statement Cash Flows'!M95</f>
        <v>0</v>
      </c>
      <c r="L20" s="21">
        <f t="shared" ref="L20:Q20" si="6">+K20</f>
        <v>0</v>
      </c>
      <c r="M20" s="21">
        <f t="shared" si="6"/>
        <v>0</v>
      </c>
      <c r="N20" s="21">
        <f t="shared" si="6"/>
        <v>0</v>
      </c>
      <c r="O20" s="21">
        <f t="shared" si="6"/>
        <v>0</v>
      </c>
      <c r="P20" s="21">
        <f t="shared" si="6"/>
        <v>0</v>
      </c>
      <c r="Q20" s="21">
        <f t="shared" si="6"/>
        <v>0</v>
      </c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2" customFormat="1">
      <c r="A21" s="353">
        <v>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>
      <c r="A22" s="164">
        <v>3</v>
      </c>
      <c r="B22" s="6" t="s">
        <v>558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>
      <c r="A23" s="353">
        <v>4</v>
      </c>
      <c r="B23" s="6" t="s">
        <v>421</v>
      </c>
      <c r="C23" s="96">
        <v>448944.91585419374</v>
      </c>
      <c r="D23" s="19">
        <f>+C24</f>
        <v>479944.91585419374</v>
      </c>
      <c r="E23" s="19">
        <f>+D24</f>
        <v>510944.91585419374</v>
      </c>
      <c r="F23" s="19">
        <f t="shared" ref="F23:Q23" si="7">E24</f>
        <v>510944.91585419374</v>
      </c>
      <c r="G23" s="19">
        <f t="shared" si="7"/>
        <v>510944.91585419374</v>
      </c>
      <c r="H23" s="19">
        <f t="shared" si="7"/>
        <v>510944.91585419374</v>
      </c>
      <c r="I23" s="19">
        <f t="shared" si="7"/>
        <v>510944.91585419374</v>
      </c>
      <c r="J23" s="19">
        <f t="shared" si="7"/>
        <v>510944.91585419374</v>
      </c>
      <c r="K23" s="19">
        <f t="shared" si="7"/>
        <v>510944.91585419374</v>
      </c>
      <c r="L23" s="19">
        <f t="shared" si="7"/>
        <v>510944.91585419374</v>
      </c>
      <c r="M23" s="19">
        <f t="shared" si="7"/>
        <v>510944.91585419374</v>
      </c>
      <c r="N23" s="19">
        <f t="shared" si="7"/>
        <v>510944.91585419374</v>
      </c>
      <c r="O23" s="19">
        <f t="shared" si="7"/>
        <v>510944.91585419374</v>
      </c>
      <c r="P23" s="19">
        <f t="shared" si="7"/>
        <v>510944.91585419374</v>
      </c>
      <c r="Q23" s="19">
        <f t="shared" si="7"/>
        <v>510944.91585419374</v>
      </c>
      <c r="R23" s="19"/>
      <c r="S23" s="363" t="s">
        <v>768</v>
      </c>
      <c r="T23" s="19"/>
      <c r="U23" s="19"/>
      <c r="V23" s="19"/>
      <c r="W23" s="19"/>
      <c r="X23" s="19"/>
      <c r="Y23" s="19"/>
      <c r="Z23" s="19"/>
    </row>
    <row r="24" spans="1:26">
      <c r="A24" s="164">
        <v>5</v>
      </c>
      <c r="B24" s="6" t="s">
        <v>422</v>
      </c>
      <c r="C24" s="14">
        <f>+C23+C20</f>
        <v>479944.91585419374</v>
      </c>
      <c r="D24" s="19">
        <f>+D23+D20</f>
        <v>510944.91585419374</v>
      </c>
      <c r="E24" s="19">
        <f>E23+E20</f>
        <v>510944.91585419374</v>
      </c>
      <c r="F24" s="19">
        <f t="shared" ref="F24:Q24" si="8">F23+F20</f>
        <v>510944.91585419374</v>
      </c>
      <c r="G24" s="19">
        <f t="shared" si="8"/>
        <v>510944.91585419374</v>
      </c>
      <c r="H24" s="19">
        <f t="shared" si="8"/>
        <v>510944.91585419374</v>
      </c>
      <c r="I24" s="19">
        <f t="shared" si="8"/>
        <v>510944.91585419374</v>
      </c>
      <c r="J24" s="19">
        <f t="shared" si="8"/>
        <v>510944.91585419374</v>
      </c>
      <c r="K24" s="19">
        <f t="shared" si="8"/>
        <v>510944.91585419374</v>
      </c>
      <c r="L24" s="19">
        <f t="shared" si="8"/>
        <v>510944.91585419374</v>
      </c>
      <c r="M24" s="19">
        <f t="shared" si="8"/>
        <v>510944.91585419374</v>
      </c>
      <c r="N24" s="19">
        <f t="shared" si="8"/>
        <v>510944.91585419374</v>
      </c>
      <c r="O24" s="19">
        <f t="shared" si="8"/>
        <v>510944.91585419374</v>
      </c>
      <c r="P24" s="19">
        <f t="shared" si="8"/>
        <v>510944.91585419374</v>
      </c>
      <c r="Q24" s="19">
        <f t="shared" si="8"/>
        <v>510944.91585419374</v>
      </c>
      <c r="R24" s="19"/>
      <c r="S24" s="200"/>
      <c r="T24" s="19"/>
      <c r="U24" s="19"/>
      <c r="V24" s="19"/>
      <c r="W24" s="19"/>
      <c r="X24" s="19"/>
      <c r="Y24" s="19"/>
      <c r="Z24" s="19"/>
    </row>
    <row r="25" spans="1:26">
      <c r="A25" s="353">
        <v>6</v>
      </c>
      <c r="B25" s="364" t="s">
        <v>206</v>
      </c>
      <c r="C25" s="19">
        <f>AVERAGE(C23:C24)</f>
        <v>464444.91585419374</v>
      </c>
      <c r="D25" s="19">
        <f>AVERAGE(D23:D24)</f>
        <v>495444.91585419374</v>
      </c>
      <c r="E25" s="19">
        <f>AVERAGE(E23:E24)</f>
        <v>510944.91585419374</v>
      </c>
      <c r="F25" s="19">
        <f t="shared" ref="F25:Q25" si="9">AVERAGE(F23:F24)</f>
        <v>510944.91585419374</v>
      </c>
      <c r="G25" s="19">
        <f t="shared" si="9"/>
        <v>510944.91585419374</v>
      </c>
      <c r="H25" s="19">
        <f t="shared" si="9"/>
        <v>510944.91585419374</v>
      </c>
      <c r="I25" s="19">
        <f t="shared" si="9"/>
        <v>510944.91585419374</v>
      </c>
      <c r="J25" s="19">
        <f t="shared" si="9"/>
        <v>510944.91585419374</v>
      </c>
      <c r="K25" s="19">
        <f t="shared" si="9"/>
        <v>510944.91585419374</v>
      </c>
      <c r="L25" s="19">
        <f t="shared" si="9"/>
        <v>510944.91585419374</v>
      </c>
      <c r="M25" s="19">
        <f t="shared" si="9"/>
        <v>510944.91585419374</v>
      </c>
      <c r="N25" s="19">
        <f t="shared" si="9"/>
        <v>510944.91585419374</v>
      </c>
      <c r="O25" s="19">
        <f t="shared" si="9"/>
        <v>510944.91585419374</v>
      </c>
      <c r="P25" s="19">
        <f t="shared" si="9"/>
        <v>510944.91585419374</v>
      </c>
      <c r="Q25" s="19">
        <f t="shared" si="9"/>
        <v>510944.91585419374</v>
      </c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164">
        <v>7</v>
      </c>
      <c r="B26" s="316"/>
      <c r="C26" s="19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</row>
    <row r="27" spans="1:26" s="160" customFormat="1">
      <c r="A27" s="353">
        <v>8</v>
      </c>
      <c r="B27" s="6" t="s">
        <v>423</v>
      </c>
      <c r="C27" s="102">
        <v>2.3590297968554426E-3</v>
      </c>
      <c r="D27" s="102">
        <v>2.1057338196330158E-3</v>
      </c>
      <c r="E27" s="102">
        <v>1.8499666080355895E-3</v>
      </c>
      <c r="F27" s="102">
        <v>1.6756167714381631E-3</v>
      </c>
      <c r="G27" s="102">
        <v>1.7110315442157367E-3</v>
      </c>
      <c r="H27" s="102">
        <v>2.1622787544933104E-3</v>
      </c>
      <c r="I27" s="102">
        <v>2.9933380741458842E-3</v>
      </c>
      <c r="J27" s="102">
        <v>4.3024502772708835E-3</v>
      </c>
      <c r="K27" s="102">
        <v>5.4793765272708852E-3</v>
      </c>
      <c r="L27" s="102">
        <v>6.3646826210208849E-3</v>
      </c>
      <c r="M27" s="102">
        <v>7.0027846522708855E-3</v>
      </c>
      <c r="N27" s="102">
        <v>7.3686279335208847E-3</v>
      </c>
      <c r="O27" s="102">
        <v>7.4412280897708837E-3</v>
      </c>
      <c r="P27" s="102">
        <v>7.4400488710208842E-3</v>
      </c>
      <c r="Q27" s="102">
        <v>7.4391651210208845E-3</v>
      </c>
      <c r="R27" s="160">
        <v>7.4389657460208845E-3</v>
      </c>
      <c r="S27" s="160">
        <v>7.438964496020886E-3</v>
      </c>
      <c r="T27" s="160">
        <v>7.4389651210208848E-3</v>
      </c>
      <c r="U27" s="160">
        <v>7.4389676210208843E-3</v>
      </c>
      <c r="V27" s="160">
        <v>7.4389721522708837E-3</v>
      </c>
      <c r="W27" s="160">
        <v>7.4389705897708845E-3</v>
      </c>
      <c r="X27" s="160">
        <v>7.4389659022708852E-3</v>
      </c>
      <c r="Y27" s="160">
        <v>7.4389646522708842E-3</v>
      </c>
    </row>
    <row r="28" spans="1:26" s="160" customFormat="1">
      <c r="A28" s="164">
        <v>9</v>
      </c>
      <c r="B28" s="6" t="s">
        <v>424</v>
      </c>
      <c r="C28" s="14">
        <f>+C27*C25</f>
        <v>1095.6393954980617</v>
      </c>
      <c r="D28" s="14">
        <f>+D27*D25</f>
        <v>1043.2751150794095</v>
      </c>
      <c r="E28" s="14">
        <f>+E27*E25</f>
        <v>945.2310328758125</v>
      </c>
      <c r="F28" s="14">
        <f t="shared" ref="F28:Q28" si="10">+F27*F25</f>
        <v>856.14787028634805</v>
      </c>
      <c r="G28" s="14">
        <f t="shared" si="10"/>
        <v>874.24286838318073</v>
      </c>
      <c r="H28" s="14">
        <f t="shared" si="10"/>
        <v>1104.8053362678954</v>
      </c>
      <c r="I28" s="14">
        <f t="shared" si="10"/>
        <v>1529.4308704176231</v>
      </c>
      <c r="J28" s="14">
        <f t="shared" si="10"/>
        <v>2198.3150948870243</v>
      </c>
      <c r="K28" s="14">
        <f t="shared" si="10"/>
        <v>2799.6595786598668</v>
      </c>
      <c r="L28" s="14">
        <f t="shared" si="10"/>
        <v>3252.0022262361654</v>
      </c>
      <c r="M28" s="14">
        <f t="shared" si="10"/>
        <v>3578.0372148995871</v>
      </c>
      <c r="N28" s="14">
        <f t="shared" si="10"/>
        <v>3764.96297945369</v>
      </c>
      <c r="O28" s="14">
        <f t="shared" si="10"/>
        <v>3802.0576601798471</v>
      </c>
      <c r="P28" s="14">
        <f t="shared" si="10"/>
        <v>3801.4551443548548</v>
      </c>
      <c r="Q28" s="14">
        <f t="shared" si="10"/>
        <v>3801.0035967854687</v>
      </c>
    </row>
    <row r="29" spans="1:26" s="160" customFormat="1">
      <c r="A29" s="353">
        <v>10</v>
      </c>
      <c r="B29" s="366"/>
    </row>
    <row r="30" spans="1:26" s="22" customFormat="1">
      <c r="A30" s="164">
        <v>11</v>
      </c>
      <c r="B30" s="22" t="s">
        <v>194</v>
      </c>
      <c r="C30" s="150">
        <f>+'Federal Capital Costs'!D10</f>
        <v>148</v>
      </c>
      <c r="D30" s="150">
        <f>+'Federal Capital Costs'!E10</f>
        <v>179</v>
      </c>
      <c r="E30" s="150">
        <f>+'Federal Capital Costs'!F10</f>
        <v>0</v>
      </c>
      <c r="F30" s="150">
        <f>+'Federal Capital Costs'!G10</f>
        <v>0</v>
      </c>
      <c r="G30" s="150">
        <f>+'Federal Capital Costs'!H10</f>
        <v>0</v>
      </c>
      <c r="H30" s="150">
        <f>+'Federal Capital Costs'!I10</f>
        <v>0</v>
      </c>
      <c r="I30" s="150">
        <f>+'Federal Capital Costs'!J10</f>
        <v>0</v>
      </c>
      <c r="J30" s="150">
        <f>+'Federal Capital Costs'!K10</f>
        <v>0</v>
      </c>
      <c r="K30" s="150">
        <f>+'Federal Capital Costs'!L10</f>
        <v>0</v>
      </c>
      <c r="L30" s="150">
        <f>+'Federal Capital Costs'!M10</f>
        <v>0</v>
      </c>
      <c r="M30" s="150">
        <f>+'Federal Capital Costs'!N10</f>
        <v>0</v>
      </c>
      <c r="N30" s="150">
        <f>+'Federal Capital Costs'!O10</f>
        <v>0</v>
      </c>
      <c r="O30" s="150">
        <f>+'Federal Capital Costs'!P10</f>
        <v>0</v>
      </c>
      <c r="P30" s="150">
        <f>+'Federal Capital Costs'!Q10</f>
        <v>0</v>
      </c>
      <c r="Q30" s="150">
        <f>+'Federal Capital Costs'!R10</f>
        <v>0</v>
      </c>
      <c r="R30" s="150"/>
      <c r="S30" s="150"/>
      <c r="T30" s="150"/>
      <c r="U30" s="150"/>
      <c r="V30" s="150"/>
      <c r="W30" s="150"/>
      <c r="X30" s="150"/>
      <c r="Y30" s="150"/>
      <c r="Z30" s="150"/>
    </row>
    <row r="31" spans="1:26">
      <c r="A31" s="353">
        <v>12</v>
      </c>
    </row>
    <row r="32" spans="1:26">
      <c r="A32" s="164">
        <v>13</v>
      </c>
      <c r="B32" s="6" t="s">
        <v>575</v>
      </c>
      <c r="C32" s="19"/>
      <c r="D32" s="367"/>
      <c r="E32" s="367"/>
    </row>
    <row r="33" spans="1:26">
      <c r="A33" s="353">
        <v>14</v>
      </c>
      <c r="B33" s="6" t="s">
        <v>204</v>
      </c>
      <c r="C33" s="147">
        <v>95700</v>
      </c>
      <c r="D33" s="96">
        <f>+C34</f>
        <v>95700</v>
      </c>
      <c r="E33" s="96">
        <f>+D34</f>
        <v>95700</v>
      </c>
      <c r="F33" s="96">
        <f t="shared" ref="F33:Q33" si="11">+E34</f>
        <v>95700</v>
      </c>
      <c r="G33" s="96">
        <f t="shared" si="11"/>
        <v>95700</v>
      </c>
      <c r="H33" s="96">
        <f t="shared" si="11"/>
        <v>95700</v>
      </c>
      <c r="I33" s="96">
        <f t="shared" si="11"/>
        <v>95700</v>
      </c>
      <c r="J33" s="96">
        <f t="shared" si="11"/>
        <v>95700</v>
      </c>
      <c r="K33" s="96">
        <f t="shared" si="11"/>
        <v>95700</v>
      </c>
      <c r="L33" s="96">
        <f t="shared" si="11"/>
        <v>95700</v>
      </c>
      <c r="M33" s="96">
        <f t="shared" si="11"/>
        <v>95700</v>
      </c>
      <c r="N33" s="96">
        <f t="shared" si="11"/>
        <v>95700</v>
      </c>
      <c r="O33" s="96">
        <f t="shared" si="11"/>
        <v>95700</v>
      </c>
      <c r="P33" s="96">
        <f t="shared" si="11"/>
        <v>95700</v>
      </c>
      <c r="Q33" s="96">
        <f t="shared" si="11"/>
        <v>95700</v>
      </c>
      <c r="S33" s="363" t="s">
        <v>768</v>
      </c>
    </row>
    <row r="34" spans="1:26">
      <c r="A34" s="164">
        <v>15</v>
      </c>
      <c r="B34" s="6" t="s">
        <v>205</v>
      </c>
      <c r="C34" s="19">
        <f>+C33</f>
        <v>95700</v>
      </c>
      <c r="D34" s="19">
        <f>+D33</f>
        <v>95700</v>
      </c>
      <c r="E34" s="19">
        <f t="shared" ref="E34:Q34" si="12">+E33</f>
        <v>95700</v>
      </c>
      <c r="F34" s="19">
        <f t="shared" si="12"/>
        <v>95700</v>
      </c>
      <c r="G34" s="19">
        <f t="shared" si="12"/>
        <v>95700</v>
      </c>
      <c r="H34" s="19">
        <f t="shared" si="12"/>
        <v>95700</v>
      </c>
      <c r="I34" s="19">
        <f t="shared" si="12"/>
        <v>95700</v>
      </c>
      <c r="J34" s="19">
        <f t="shared" si="12"/>
        <v>95700</v>
      </c>
      <c r="K34" s="19">
        <f t="shared" si="12"/>
        <v>95700</v>
      </c>
      <c r="L34" s="19">
        <f t="shared" si="12"/>
        <v>95700</v>
      </c>
      <c r="M34" s="19">
        <f t="shared" si="12"/>
        <v>95700</v>
      </c>
      <c r="N34" s="19">
        <f t="shared" si="12"/>
        <v>95700</v>
      </c>
      <c r="O34" s="19">
        <f t="shared" si="12"/>
        <v>95700</v>
      </c>
      <c r="P34" s="19">
        <f t="shared" si="12"/>
        <v>95700</v>
      </c>
      <c r="Q34" s="19">
        <f t="shared" si="12"/>
        <v>95700</v>
      </c>
      <c r="R34" s="19" t="e">
        <f>+C33+#REF!</f>
        <v>#REF!</v>
      </c>
      <c r="S34" s="363"/>
    </row>
    <row r="35" spans="1:26">
      <c r="A35" s="353">
        <v>16</v>
      </c>
      <c r="B35" s="364" t="s">
        <v>206</v>
      </c>
      <c r="C35" s="96">
        <f t="shared" ref="C35:Q35" si="13">(C33+C34)/2</f>
        <v>95700</v>
      </c>
      <c r="D35" s="96">
        <f t="shared" si="13"/>
        <v>95700</v>
      </c>
      <c r="E35" s="96">
        <f t="shared" si="13"/>
        <v>95700</v>
      </c>
      <c r="F35" s="96">
        <f t="shared" si="13"/>
        <v>95700</v>
      </c>
      <c r="G35" s="96">
        <f t="shared" si="13"/>
        <v>95700</v>
      </c>
      <c r="H35" s="96">
        <f t="shared" si="13"/>
        <v>95700</v>
      </c>
      <c r="I35" s="96">
        <f t="shared" si="13"/>
        <v>95700</v>
      </c>
      <c r="J35" s="96">
        <f t="shared" si="13"/>
        <v>95700</v>
      </c>
      <c r="K35" s="96">
        <f t="shared" si="13"/>
        <v>95700</v>
      </c>
      <c r="L35" s="96">
        <f t="shared" si="13"/>
        <v>95700</v>
      </c>
      <c r="M35" s="96">
        <f t="shared" si="13"/>
        <v>95700</v>
      </c>
      <c r="N35" s="96">
        <f t="shared" si="13"/>
        <v>95700</v>
      </c>
      <c r="O35" s="96">
        <f t="shared" si="13"/>
        <v>95700</v>
      </c>
      <c r="P35" s="96">
        <f t="shared" si="13"/>
        <v>95700</v>
      </c>
      <c r="Q35" s="96">
        <f t="shared" si="13"/>
        <v>95700</v>
      </c>
      <c r="R35" s="96"/>
      <c r="S35" s="96"/>
      <c r="T35" s="96"/>
      <c r="U35" s="96"/>
      <c r="V35" s="96"/>
      <c r="W35" s="96"/>
      <c r="X35" s="96"/>
      <c r="Y35" s="96"/>
      <c r="Z35" s="96"/>
    </row>
    <row r="36" spans="1:26" s="22" customFormat="1">
      <c r="A36" s="164">
        <v>17</v>
      </c>
      <c r="B36" s="22" t="s">
        <v>144</v>
      </c>
      <c r="C36" s="368">
        <f t="shared" ref="C36:Q36" si="14">C35*C27</f>
        <v>225.75915155906586</v>
      </c>
      <c r="D36" s="368">
        <f t="shared" si="14"/>
        <v>201.5187265388796</v>
      </c>
      <c r="E36" s="368">
        <f t="shared" si="14"/>
        <v>177.0418043890059</v>
      </c>
      <c r="F36" s="368">
        <f t="shared" si="14"/>
        <v>160.3565250266322</v>
      </c>
      <c r="G36" s="368">
        <f t="shared" si="14"/>
        <v>163.74571878144602</v>
      </c>
      <c r="H36" s="368">
        <f t="shared" si="14"/>
        <v>206.9300768050098</v>
      </c>
      <c r="I36" s="368">
        <f t="shared" si="14"/>
        <v>286.4624536957611</v>
      </c>
      <c r="J36" s="368">
        <f t="shared" si="14"/>
        <v>411.74449153482357</v>
      </c>
      <c r="K36" s="368">
        <f t="shared" si="14"/>
        <v>524.37633365982367</v>
      </c>
      <c r="L36" s="368">
        <f t="shared" si="14"/>
        <v>609.10012683169873</v>
      </c>
      <c r="M36" s="368">
        <f t="shared" si="14"/>
        <v>670.16649122232377</v>
      </c>
      <c r="N36" s="368">
        <f t="shared" si="14"/>
        <v>705.17769323794869</v>
      </c>
      <c r="O36" s="368">
        <f t="shared" si="14"/>
        <v>712.12552819107361</v>
      </c>
      <c r="P36" s="368">
        <f t="shared" si="14"/>
        <v>712.01267695669867</v>
      </c>
      <c r="Q36" s="368">
        <f t="shared" si="14"/>
        <v>711.92810208169863</v>
      </c>
      <c r="R36" s="368"/>
      <c r="S36" s="368"/>
      <c r="T36" s="368"/>
      <c r="U36" s="368"/>
      <c r="V36" s="368"/>
      <c r="W36" s="368"/>
      <c r="X36" s="368"/>
      <c r="Y36" s="368"/>
      <c r="Z36" s="368"/>
    </row>
    <row r="37" spans="1:26" s="22" customFormat="1">
      <c r="A37" s="353">
        <v>18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</row>
    <row r="38" spans="1:26">
      <c r="A38" s="353">
        <v>26</v>
      </c>
      <c r="B38" s="94" t="s">
        <v>489</v>
      </c>
      <c r="C38" s="19">
        <f t="shared" ref="C38:Q38" si="15">+C36+C30+C28</f>
        <v>1469.3985470571276</v>
      </c>
      <c r="D38" s="19">
        <f t="shared" si="15"/>
        <v>1423.7938416182892</v>
      </c>
      <c r="E38" s="19">
        <f t="shared" si="15"/>
        <v>1122.2728372648185</v>
      </c>
      <c r="F38" s="19">
        <f t="shared" si="15"/>
        <v>1016.5043953129803</v>
      </c>
      <c r="G38" s="19">
        <f t="shared" si="15"/>
        <v>1037.9885871646268</v>
      </c>
      <c r="H38" s="19">
        <f t="shared" si="15"/>
        <v>1311.7354130729052</v>
      </c>
      <c r="I38" s="19">
        <f t="shared" si="15"/>
        <v>1815.8933241133841</v>
      </c>
      <c r="J38" s="19">
        <f t="shared" si="15"/>
        <v>2610.0595864218481</v>
      </c>
      <c r="K38" s="19">
        <f t="shared" si="15"/>
        <v>3324.0359123196904</v>
      </c>
      <c r="L38" s="19">
        <f t="shared" si="15"/>
        <v>3861.102353067864</v>
      </c>
      <c r="M38" s="19">
        <f t="shared" si="15"/>
        <v>4248.2037061219107</v>
      </c>
      <c r="N38" s="19">
        <f t="shared" si="15"/>
        <v>4470.1406726916384</v>
      </c>
      <c r="O38" s="19">
        <f t="shared" si="15"/>
        <v>4514.183188370921</v>
      </c>
      <c r="P38" s="19">
        <f t="shared" si="15"/>
        <v>4513.4678213115531</v>
      </c>
      <c r="Q38" s="19">
        <f t="shared" si="15"/>
        <v>4512.9316988671671</v>
      </c>
      <c r="R38" s="19"/>
      <c r="S38" s="19"/>
      <c r="T38" s="19"/>
      <c r="U38" s="19"/>
      <c r="V38" s="19"/>
      <c r="W38" s="19"/>
      <c r="X38" s="19"/>
      <c r="Y38" s="19"/>
      <c r="Z38" s="19"/>
    </row>
    <row r="40" spans="1:26">
      <c r="C40" s="19"/>
      <c r="D40" s="19"/>
    </row>
    <row r="41" spans="1:26">
      <c r="C41" s="19"/>
      <c r="D41" s="19"/>
    </row>
    <row r="42" spans="1:26">
      <c r="C42" s="352"/>
    </row>
    <row r="43" spans="1:26">
      <c r="B43" s="103"/>
      <c r="C43" s="369"/>
      <c r="D43" s="369"/>
      <c r="E43" s="369"/>
      <c r="F43" s="369"/>
      <c r="G43" s="369"/>
      <c r="H43" s="369"/>
      <c r="I43" s="369"/>
      <c r="J43" s="36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393" t="s">
        <v>416</v>
      </c>
      <c r="B45" s="393"/>
      <c r="C45" s="393"/>
      <c r="D45" s="393"/>
      <c r="E45" s="393"/>
    </row>
    <row r="46" spans="1:26">
      <c r="A46" s="393" t="s">
        <v>417</v>
      </c>
      <c r="B46" s="393"/>
      <c r="C46" s="393"/>
      <c r="D46" s="393"/>
      <c r="E46" s="393"/>
      <c r="F46" s="370"/>
    </row>
    <row r="47" spans="1:26">
      <c r="A47" s="393" t="s">
        <v>249</v>
      </c>
      <c r="B47" s="393"/>
      <c r="C47" s="393"/>
      <c r="D47" s="393"/>
      <c r="E47" s="393"/>
      <c r="F47" s="201"/>
      <c r="G47" s="201"/>
      <c r="H47" s="201"/>
      <c r="I47" s="201"/>
      <c r="J47" s="201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C49" s="105" t="s">
        <v>159</v>
      </c>
      <c r="D49" s="105" t="s">
        <v>160</v>
      </c>
      <c r="E49" s="105" t="s">
        <v>161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E50" s="105" t="s">
        <v>418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C51" s="105">
        <f>+C6</f>
        <v>2022</v>
      </c>
      <c r="D51" s="105">
        <f>+D6</f>
        <v>2023</v>
      </c>
      <c r="E51" s="105" t="s">
        <v>419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353">
        <v>1</v>
      </c>
      <c r="B52" s="6" t="s">
        <v>420</v>
      </c>
      <c r="C52" s="371">
        <f>+'Revised Revenue Test'!E101</f>
        <v>68489.252571823759</v>
      </c>
      <c r="D52" s="371">
        <f>+'Revised Revenue Test'!F101</f>
        <v>-6948.054448085928</v>
      </c>
      <c r="E52" s="93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353">
        <v>2</v>
      </c>
      <c r="C53" s="93"/>
      <c r="D53" s="93"/>
      <c r="E53" s="372"/>
      <c r="F53" s="19"/>
      <c r="G53" s="19"/>
      <c r="H53" s="19"/>
      <c r="I53" s="19"/>
      <c r="J53" s="371" t="s">
        <v>711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353">
        <v>3</v>
      </c>
      <c r="B54" s="6" t="s">
        <v>558</v>
      </c>
      <c r="C54" s="93"/>
      <c r="D54" s="93"/>
      <c r="E54" s="93"/>
      <c r="J54" s="371" t="s">
        <v>712</v>
      </c>
    </row>
    <row r="55" spans="1:26">
      <c r="A55" s="353">
        <v>4</v>
      </c>
      <c r="B55" s="6" t="s">
        <v>421</v>
      </c>
      <c r="C55" s="93">
        <f>+C23</f>
        <v>448944.91585419374</v>
      </c>
      <c r="D55" s="93">
        <f>+C56</f>
        <v>517434.16842601751</v>
      </c>
      <c r="E55" s="93">
        <f>D56</f>
        <v>510486.11397793156</v>
      </c>
    </row>
    <row r="56" spans="1:26">
      <c r="A56" s="353">
        <v>5</v>
      </c>
      <c r="B56" s="6" t="s">
        <v>422</v>
      </c>
      <c r="C56" s="93">
        <f>C55+C52</f>
        <v>517434.16842601751</v>
      </c>
      <c r="D56" s="93">
        <f>D55+D52</f>
        <v>510486.11397793156</v>
      </c>
      <c r="E56" s="93">
        <f>E55</f>
        <v>510486.11397793156</v>
      </c>
    </row>
    <row r="57" spans="1:26">
      <c r="A57" s="353">
        <v>6</v>
      </c>
      <c r="B57" s="364" t="s">
        <v>206</v>
      </c>
      <c r="C57" s="93">
        <f>ROUND((C55+C56)*0.5,0)</f>
        <v>483190</v>
      </c>
      <c r="D57" s="93">
        <f>ROUND((D55+D56)*0.5,0)</f>
        <v>513960</v>
      </c>
      <c r="E57" s="93">
        <f>ROUND((E55+E56)*0.5,0)</f>
        <v>510486</v>
      </c>
    </row>
    <row r="58" spans="1:26">
      <c r="A58" s="353">
        <v>7</v>
      </c>
      <c r="C58" s="93"/>
      <c r="D58" s="93"/>
      <c r="E58" s="93"/>
    </row>
    <row r="59" spans="1:26">
      <c r="A59" s="353">
        <v>8</v>
      </c>
      <c r="B59" s="6" t="s">
        <v>423</v>
      </c>
      <c r="C59" s="373">
        <f>+C27</f>
        <v>2.3590297968554426E-3</v>
      </c>
      <c r="D59" s="373">
        <f>+D27</f>
        <v>2.1057338196330158E-3</v>
      </c>
      <c r="E59" s="373">
        <f>D59</f>
        <v>2.1057338196330158E-3</v>
      </c>
    </row>
    <row r="60" spans="1:26">
      <c r="A60" s="353">
        <v>9</v>
      </c>
      <c r="B60" s="6" t="s">
        <v>424</v>
      </c>
      <c r="C60" s="150">
        <f>+C59*C57</f>
        <v>1139.8596075425814</v>
      </c>
      <c r="D60" s="150">
        <f>+D59*D57</f>
        <v>1082.2629539385848</v>
      </c>
      <c r="E60" s="372">
        <f>ROUND(E57*E59,0)</f>
        <v>1075</v>
      </c>
      <c r="G60" s="19">
        <f>+'Revised Revenue Test'!E95</f>
        <v>61569.871330925525</v>
      </c>
      <c r="H60" s="19">
        <f>+'Revised Revenue Test'!F95</f>
        <v>44.72723239150946</v>
      </c>
      <c r="I60" s="14">
        <f>(G60+H60)/2</f>
        <v>30807.299281658517</v>
      </c>
    </row>
    <row r="61" spans="1:26">
      <c r="A61" s="353">
        <v>10</v>
      </c>
      <c r="C61" s="374"/>
      <c r="D61" s="374"/>
      <c r="E61" s="374"/>
    </row>
    <row r="62" spans="1:26">
      <c r="A62" s="353">
        <v>11</v>
      </c>
      <c r="B62" s="6" t="s">
        <v>425</v>
      </c>
      <c r="C62" s="375">
        <f>+'Federal Capital Costs'!D10</f>
        <v>148</v>
      </c>
      <c r="D62" s="375">
        <f>+'Federal Capital Costs'!E10</f>
        <v>179</v>
      </c>
      <c r="E62" s="375">
        <f>+E30</f>
        <v>0</v>
      </c>
    </row>
    <row r="63" spans="1:26">
      <c r="A63" s="353">
        <v>12</v>
      </c>
      <c r="C63" s="93"/>
      <c r="D63" s="93"/>
      <c r="E63" s="93"/>
    </row>
    <row r="64" spans="1:26" ht="12" customHeight="1">
      <c r="A64" s="353">
        <v>13</v>
      </c>
      <c r="B64" s="6" t="s">
        <v>575</v>
      </c>
      <c r="C64" s="376"/>
      <c r="D64" s="376"/>
      <c r="E64" s="376"/>
    </row>
    <row r="65" spans="1:5">
      <c r="A65" s="353">
        <v>14</v>
      </c>
      <c r="B65" s="6" t="s">
        <v>204</v>
      </c>
      <c r="C65" s="93">
        <f>+C33</f>
        <v>95700</v>
      </c>
      <c r="D65" s="93">
        <f>+C66</f>
        <v>95700</v>
      </c>
      <c r="E65" s="93">
        <f>D66</f>
        <v>95700</v>
      </c>
    </row>
    <row r="66" spans="1:5">
      <c r="A66" s="353">
        <v>15</v>
      </c>
      <c r="B66" s="6" t="s">
        <v>205</v>
      </c>
      <c r="C66" s="93">
        <f>+C34</f>
        <v>95700</v>
      </c>
      <c r="D66" s="93">
        <f>+D34</f>
        <v>95700</v>
      </c>
      <c r="E66" s="372">
        <f>E65</f>
        <v>95700</v>
      </c>
    </row>
    <row r="67" spans="1:5">
      <c r="A67" s="353">
        <v>16</v>
      </c>
      <c r="B67" s="364" t="s">
        <v>206</v>
      </c>
      <c r="C67" s="93">
        <f>+C35</f>
        <v>95700</v>
      </c>
      <c r="D67" s="93">
        <f>+D35</f>
        <v>95700</v>
      </c>
      <c r="E67" s="93">
        <f>E66</f>
        <v>95700</v>
      </c>
    </row>
    <row r="68" spans="1:5">
      <c r="A68" s="353">
        <v>17</v>
      </c>
      <c r="B68" s="22" t="s">
        <v>144</v>
      </c>
      <c r="C68" s="93">
        <f>+C67*C59</f>
        <v>225.75915155906586</v>
      </c>
      <c r="D68" s="93">
        <f>+D67*D59</f>
        <v>201.5187265388796</v>
      </c>
      <c r="E68" s="375">
        <f>E67*E59</f>
        <v>201.5187265388796</v>
      </c>
    </row>
    <row r="69" spans="1:5" ht="10.5" customHeight="1">
      <c r="A69" s="353">
        <v>18</v>
      </c>
    </row>
    <row r="70" spans="1:5">
      <c r="A70" s="353">
        <v>19</v>
      </c>
      <c r="B70" s="6" t="s">
        <v>430</v>
      </c>
      <c r="D70" s="93"/>
      <c r="E70" s="93"/>
    </row>
    <row r="71" spans="1:5">
      <c r="A71" s="353">
        <v>20</v>
      </c>
      <c r="B71" s="6" t="s">
        <v>204</v>
      </c>
      <c r="C71" s="93"/>
      <c r="D71" s="93"/>
      <c r="E71" s="93"/>
    </row>
    <row r="72" spans="1:5">
      <c r="A72" s="353">
        <v>21</v>
      </c>
      <c r="B72" s="22" t="s">
        <v>422</v>
      </c>
      <c r="C72" s="93"/>
      <c r="D72" s="93"/>
      <c r="E72" s="93"/>
    </row>
    <row r="73" spans="1:5">
      <c r="A73" s="353">
        <v>22</v>
      </c>
      <c r="B73" s="364" t="s">
        <v>206</v>
      </c>
      <c r="C73" s="93"/>
      <c r="D73" s="93"/>
      <c r="E73" s="93"/>
    </row>
    <row r="74" spans="1:5">
      <c r="A74" s="353">
        <v>24</v>
      </c>
      <c r="B74" s="22" t="s">
        <v>144</v>
      </c>
      <c r="C74" s="19"/>
      <c r="D74" s="19"/>
      <c r="E74" s="19"/>
    </row>
    <row r="75" spans="1:5">
      <c r="A75" s="353">
        <v>25</v>
      </c>
    </row>
    <row r="76" spans="1:5">
      <c r="A76" s="353">
        <v>26</v>
      </c>
      <c r="B76" s="22" t="s">
        <v>426</v>
      </c>
      <c r="C76" s="372">
        <f>C60+C62+C68+C74</f>
        <v>1513.6187591016474</v>
      </c>
      <c r="D76" s="372">
        <f>D60+D62+D68+D74</f>
        <v>1462.7816804774643</v>
      </c>
      <c r="E76" s="372">
        <f>E60+E62+E68+E74</f>
        <v>1276.5187265388795</v>
      </c>
    </row>
    <row r="77" spans="1:5">
      <c r="A77" s="353">
        <v>27</v>
      </c>
    </row>
    <row r="78" spans="1:5">
      <c r="A78" s="353">
        <v>28</v>
      </c>
      <c r="B78" s="6" t="s">
        <v>427</v>
      </c>
      <c r="C78" s="93">
        <f>ROUND((C55+C65+C71)*C59,0)</f>
        <v>1285</v>
      </c>
      <c r="D78" s="93">
        <f>ROUND((D55+D65+D71)*D59,0)</f>
        <v>1291</v>
      </c>
      <c r="E78" s="93"/>
    </row>
    <row r="79" spans="1:5">
      <c r="A79" s="353">
        <v>29</v>
      </c>
      <c r="B79" s="6" t="s">
        <v>428</v>
      </c>
      <c r="C79" s="19">
        <f>C62</f>
        <v>148</v>
      </c>
      <c r="D79" s="19">
        <f>D62</f>
        <v>179</v>
      </c>
      <c r="E79" s="93"/>
    </row>
    <row r="80" spans="1:5">
      <c r="A80" s="353">
        <v>30</v>
      </c>
      <c r="B80" s="94" t="s">
        <v>429</v>
      </c>
      <c r="C80" s="93">
        <f>SUM(C78:C79)</f>
        <v>1433</v>
      </c>
      <c r="D80" s="93">
        <f>SUM(D78:D79)</f>
        <v>1470</v>
      </c>
      <c r="E80" s="93"/>
    </row>
    <row r="84" spans="1:5">
      <c r="A84" s="393" t="s">
        <v>416</v>
      </c>
      <c r="B84" s="393"/>
      <c r="C84" s="393"/>
      <c r="D84" s="393"/>
      <c r="E84" s="393"/>
    </row>
    <row r="85" spans="1:5">
      <c r="A85" s="393" t="s">
        <v>431</v>
      </c>
      <c r="B85" s="393"/>
      <c r="C85" s="393"/>
      <c r="D85" s="393"/>
      <c r="E85" s="393"/>
    </row>
    <row r="86" spans="1:5">
      <c r="A86" s="393" t="s">
        <v>249</v>
      </c>
      <c r="B86" s="393"/>
      <c r="C86" s="393"/>
      <c r="D86" s="393"/>
      <c r="E86" s="393"/>
    </row>
    <row r="88" spans="1:5">
      <c r="C88" s="105" t="s">
        <v>159</v>
      </c>
      <c r="D88" s="105" t="s">
        <v>160</v>
      </c>
      <c r="E88" s="105" t="s">
        <v>161</v>
      </c>
    </row>
    <row r="89" spans="1:5">
      <c r="E89" s="105" t="s">
        <v>418</v>
      </c>
    </row>
    <row r="90" spans="1:5">
      <c r="C90" s="105">
        <f>+C51</f>
        <v>2022</v>
      </c>
      <c r="D90" s="105">
        <f>+D51</f>
        <v>2023</v>
      </c>
      <c r="E90" s="105" t="s">
        <v>419</v>
      </c>
    </row>
    <row r="91" spans="1:5">
      <c r="A91" s="353">
        <v>1</v>
      </c>
      <c r="B91" s="6" t="s">
        <v>420</v>
      </c>
      <c r="C91" s="93">
        <f>+'Current Revenue Test'!E97</f>
        <v>155609.68450379212</v>
      </c>
      <c r="D91" s="93">
        <f>+'Current Revenue Test'!F97</f>
        <v>83546.531276632013</v>
      </c>
      <c r="E91" s="93"/>
    </row>
    <row r="92" spans="1:5">
      <c r="A92" s="353">
        <v>2</v>
      </c>
      <c r="C92" s="93"/>
      <c r="D92" s="93"/>
      <c r="E92" s="372"/>
    </row>
    <row r="93" spans="1:5">
      <c r="A93" s="353">
        <v>3</v>
      </c>
      <c r="B93" s="6" t="s">
        <v>558</v>
      </c>
      <c r="C93" s="93"/>
      <c r="D93" s="93"/>
      <c r="E93" s="93"/>
    </row>
    <row r="94" spans="1:5">
      <c r="A94" s="353">
        <v>4</v>
      </c>
      <c r="B94" s="6" t="s">
        <v>421</v>
      </c>
      <c r="C94" s="93">
        <f>+C23</f>
        <v>448944.91585419374</v>
      </c>
      <c r="D94" s="93">
        <f>+C95</f>
        <v>604554.60035798582</v>
      </c>
      <c r="E94" s="93">
        <f>D95</f>
        <v>688101.13163461781</v>
      </c>
    </row>
    <row r="95" spans="1:5">
      <c r="A95" s="353">
        <v>5</v>
      </c>
      <c r="B95" s="6" t="s">
        <v>422</v>
      </c>
      <c r="C95" s="93">
        <f>C94+C91+C92</f>
        <v>604554.60035798582</v>
      </c>
      <c r="D95" s="93">
        <f>D94+D91+D92</f>
        <v>688101.13163461781</v>
      </c>
      <c r="E95" s="93">
        <f>E94</f>
        <v>688101.13163461781</v>
      </c>
    </row>
    <row r="96" spans="1:5">
      <c r="A96" s="353">
        <v>6</v>
      </c>
      <c r="B96" s="364" t="s">
        <v>206</v>
      </c>
      <c r="C96" s="93">
        <f>ROUND((C94+C95)*0.5,0)</f>
        <v>526750</v>
      </c>
      <c r="D96" s="93">
        <f>ROUND((D94+D95)*0.5,0)</f>
        <v>646328</v>
      </c>
      <c r="E96" s="93">
        <f>ROUND((E94+E95)*0.5,0)</f>
        <v>688101</v>
      </c>
    </row>
    <row r="97" spans="1:5">
      <c r="A97" s="353">
        <v>7</v>
      </c>
      <c r="C97" s="93"/>
      <c r="D97" s="93"/>
      <c r="E97" s="93"/>
    </row>
    <row r="98" spans="1:5">
      <c r="A98" s="353">
        <v>8</v>
      </c>
      <c r="B98" s="22" t="s">
        <v>423</v>
      </c>
      <c r="C98" s="377">
        <f>+C59</f>
        <v>2.3590297968554426E-3</v>
      </c>
      <c r="D98" s="377">
        <f>+D59</f>
        <v>2.1057338196330158E-3</v>
      </c>
      <c r="E98" s="377">
        <f>D98</f>
        <v>2.1057338196330158E-3</v>
      </c>
    </row>
    <row r="99" spans="1:5">
      <c r="A99" s="353">
        <v>9</v>
      </c>
      <c r="B99" s="22" t="s">
        <v>424</v>
      </c>
      <c r="C99" s="372">
        <f>ROUND(C96*C98,0)</f>
        <v>1243</v>
      </c>
      <c r="D99" s="372">
        <f>ROUND(D96*D98,0)</f>
        <v>1361</v>
      </c>
      <c r="E99" s="372">
        <f>ROUND(E96*E98,0)</f>
        <v>1449</v>
      </c>
    </row>
    <row r="100" spans="1:5">
      <c r="A100" s="353">
        <v>10</v>
      </c>
      <c r="B100" s="22"/>
      <c r="C100" s="372"/>
      <c r="D100" s="372"/>
      <c r="E100" s="372"/>
    </row>
    <row r="101" spans="1:5">
      <c r="A101" s="353">
        <v>11</v>
      </c>
      <c r="B101" s="22" t="s">
        <v>425</v>
      </c>
      <c r="C101" s="378">
        <f>+C62</f>
        <v>148</v>
      </c>
      <c r="D101" s="378">
        <f>+D62</f>
        <v>179</v>
      </c>
      <c r="E101" s="378"/>
    </row>
    <row r="102" spans="1:5">
      <c r="A102" s="353">
        <v>12</v>
      </c>
      <c r="B102" s="22"/>
      <c r="C102" s="372"/>
      <c r="D102" s="372"/>
      <c r="E102" s="372"/>
    </row>
    <row r="103" spans="1:5">
      <c r="A103" s="353">
        <v>13</v>
      </c>
      <c r="B103" s="6" t="s">
        <v>575</v>
      </c>
      <c r="C103" s="378"/>
      <c r="D103" s="378"/>
      <c r="E103" s="378"/>
    </row>
    <row r="104" spans="1:5">
      <c r="A104" s="353">
        <v>14</v>
      </c>
      <c r="B104" s="22" t="s">
        <v>204</v>
      </c>
      <c r="C104" s="372">
        <f t="shared" ref="C104:D106" si="16">+C65</f>
        <v>95700</v>
      </c>
      <c r="D104" s="372">
        <f t="shared" si="16"/>
        <v>95700</v>
      </c>
      <c r="E104" s="372">
        <f>D105</f>
        <v>95700</v>
      </c>
    </row>
    <row r="105" spans="1:5">
      <c r="A105" s="353">
        <v>15</v>
      </c>
      <c r="B105" s="22" t="s">
        <v>205</v>
      </c>
      <c r="C105" s="372">
        <f t="shared" si="16"/>
        <v>95700</v>
      </c>
      <c r="D105" s="372">
        <f t="shared" si="16"/>
        <v>95700</v>
      </c>
      <c r="E105" s="372">
        <f>E104</f>
        <v>95700</v>
      </c>
    </row>
    <row r="106" spans="1:5">
      <c r="A106" s="353">
        <v>16</v>
      </c>
      <c r="B106" s="379" t="s">
        <v>206</v>
      </c>
      <c r="C106" s="372">
        <f t="shared" si="16"/>
        <v>95700</v>
      </c>
      <c r="D106" s="372">
        <f t="shared" si="16"/>
        <v>95700</v>
      </c>
      <c r="E106" s="372">
        <f>E105</f>
        <v>95700</v>
      </c>
    </row>
    <row r="107" spans="1:5">
      <c r="A107" s="353">
        <v>17</v>
      </c>
      <c r="B107" s="22" t="s">
        <v>144</v>
      </c>
      <c r="C107" s="372">
        <f>+C106*C98</f>
        <v>225.75915155906586</v>
      </c>
      <c r="D107" s="372">
        <f>+D106*D98</f>
        <v>201.5187265388796</v>
      </c>
      <c r="E107" s="378">
        <f>E106*E98</f>
        <v>201.5187265388796</v>
      </c>
    </row>
    <row r="108" spans="1:5">
      <c r="A108" s="353">
        <v>18</v>
      </c>
      <c r="B108" s="22"/>
      <c r="C108" s="22"/>
      <c r="D108" s="22"/>
      <c r="E108" s="22"/>
    </row>
    <row r="109" spans="1:5">
      <c r="A109" s="353">
        <v>19</v>
      </c>
      <c r="B109" s="22" t="s">
        <v>430</v>
      </c>
      <c r="C109" s="22"/>
      <c r="D109" s="372"/>
      <c r="E109" s="372"/>
    </row>
    <row r="110" spans="1:5">
      <c r="A110" s="353">
        <v>20</v>
      </c>
      <c r="B110" s="22" t="s">
        <v>204</v>
      </c>
      <c r="C110" s="372"/>
      <c r="D110" s="372"/>
      <c r="E110" s="372"/>
    </row>
    <row r="111" spans="1:5">
      <c r="A111" s="353">
        <v>21</v>
      </c>
      <c r="B111" s="22" t="s">
        <v>205</v>
      </c>
      <c r="C111" s="372"/>
      <c r="D111" s="372"/>
      <c r="E111" s="372"/>
    </row>
    <row r="112" spans="1:5">
      <c r="A112" s="353">
        <v>22</v>
      </c>
      <c r="B112" s="379" t="s">
        <v>206</v>
      </c>
      <c r="C112" s="372"/>
      <c r="D112" s="372"/>
      <c r="E112" s="372"/>
    </row>
    <row r="113" spans="1:5">
      <c r="A113" s="353">
        <v>24</v>
      </c>
      <c r="B113" s="22" t="s">
        <v>144</v>
      </c>
      <c r="C113" s="21"/>
      <c r="D113" s="21"/>
      <c r="E113" s="21"/>
    </row>
    <row r="114" spans="1:5">
      <c r="A114" s="353">
        <v>25</v>
      </c>
      <c r="B114" s="22"/>
      <c r="C114" s="19"/>
      <c r="D114" s="19"/>
      <c r="E114" s="19"/>
    </row>
    <row r="115" spans="1:5">
      <c r="A115" s="353">
        <v>26</v>
      </c>
      <c r="B115" s="22" t="s">
        <v>426</v>
      </c>
      <c r="C115" s="372">
        <f>C99+C101+C107+C113</f>
        <v>1616.7591515590659</v>
      </c>
      <c r="D115" s="372">
        <f>D99+D101+D107+D113</f>
        <v>1741.5187265388795</v>
      </c>
      <c r="E115" s="372">
        <f>E99+E101+E107+E113</f>
        <v>1650.5187265388795</v>
      </c>
    </row>
    <row r="116" spans="1:5">
      <c r="A116" s="353">
        <v>27</v>
      </c>
    </row>
    <row r="117" spans="1:5">
      <c r="A117" s="353">
        <v>28</v>
      </c>
      <c r="B117" s="6" t="s">
        <v>427</v>
      </c>
      <c r="C117" s="93">
        <f>ROUND((C94+C104+C110)*C98,0)</f>
        <v>1285</v>
      </c>
      <c r="D117" s="93">
        <f>ROUND((D94+D104+D110)*D98,0)</f>
        <v>1475</v>
      </c>
      <c r="E117" s="93"/>
    </row>
    <row r="118" spans="1:5">
      <c r="A118" s="353">
        <v>29</v>
      </c>
      <c r="B118" s="6" t="s">
        <v>428</v>
      </c>
      <c r="C118" s="19">
        <f>C101</f>
        <v>148</v>
      </c>
      <c r="D118" s="19">
        <f>D101</f>
        <v>179</v>
      </c>
      <c r="E118" s="93"/>
    </row>
    <row r="119" spans="1:5">
      <c r="A119" s="353">
        <v>30</v>
      </c>
      <c r="B119" s="94" t="s">
        <v>429</v>
      </c>
      <c r="C119" s="93">
        <f>SUM(C117:C118)</f>
        <v>1433</v>
      </c>
      <c r="D119" s="93">
        <f>SUM(D117:D118)</f>
        <v>1654</v>
      </c>
      <c r="E119" s="93"/>
    </row>
    <row r="127" spans="1:5">
      <c r="B127" s="22"/>
    </row>
    <row r="128" spans="1:5">
      <c r="B128" s="22"/>
    </row>
    <row r="131" spans="1:17"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1:17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>
      <c r="B133" s="103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>
      <c r="A136" s="380"/>
      <c r="B136" s="151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</row>
    <row r="137" spans="1:17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</row>
    <row r="138" spans="1:17">
      <c r="B138" s="163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>
      <c r="B140" s="103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>
      <c r="B141" s="94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>
      <c r="B142" s="381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>
      <c r="B143" s="36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>
      <c r="B144" s="36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2:17">
      <c r="B145" s="36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2:17">
      <c r="B146" s="382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</sheetData>
  <mergeCells count="8">
    <mergeCell ref="A15:E15"/>
    <mergeCell ref="A16:E16"/>
    <mergeCell ref="A84:E84"/>
    <mergeCell ref="A85:E85"/>
    <mergeCell ref="A86:E86"/>
    <mergeCell ref="A45:E45"/>
    <mergeCell ref="A47:E47"/>
    <mergeCell ref="A46:E46"/>
  </mergeCells>
  <phoneticPr fontId="42" type="noConversion"/>
  <conditionalFormatting sqref="C142:Q142">
    <cfRule type="expression" dxfId="0" priority="15" stopIfTrue="1">
      <formula>IF(AND(C38="",ROW()&lt;MATCH($B:$B,"Revenue Credits / Rate Design Adjustments",0)),TRUE,FALSE)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K24"/>
  <sheetViews>
    <sheetView workbookViewId="0">
      <selection activeCell="K1" sqref="K1:L6"/>
    </sheetView>
  </sheetViews>
  <sheetFormatPr defaultRowHeight="12.75"/>
  <cols>
    <col min="3" max="3" width="28.5703125" customWidth="1"/>
    <col min="4" max="4" width="12.85546875" bestFit="1" customWidth="1"/>
  </cols>
  <sheetData>
    <row r="1" spans="1:11">
      <c r="A1" t="s">
        <v>145</v>
      </c>
    </row>
    <row r="2" spans="1:11">
      <c r="K2" s="25"/>
    </row>
    <row r="3" spans="1:11">
      <c r="K3" s="25"/>
    </row>
    <row r="4" spans="1:11" ht="15.75">
      <c r="K4" s="158"/>
    </row>
    <row r="5" spans="1:11" ht="15.75">
      <c r="D5">
        <v>2022</v>
      </c>
      <c r="E5">
        <v>2023</v>
      </c>
      <c r="K5" s="158"/>
    </row>
    <row r="6" spans="1:11" ht="27.75" customHeight="1">
      <c r="C6" t="s">
        <v>414</v>
      </c>
      <c r="D6" s="113">
        <v>0</v>
      </c>
      <c r="E6" s="113">
        <v>0</v>
      </c>
      <c r="I6" s="25"/>
      <c r="K6" s="158"/>
    </row>
    <row r="7" spans="1:11">
      <c r="C7" t="s">
        <v>415</v>
      </c>
      <c r="D7" s="113">
        <f>21/SUM(21+12.8)</f>
        <v>0.62130177514792906</v>
      </c>
      <c r="E7" s="113">
        <f>21/SUM(21+12.8)</f>
        <v>0.62130177514792906</v>
      </c>
      <c r="I7" s="25"/>
      <c r="J7" s="25"/>
    </row>
    <row r="8" spans="1:11">
      <c r="C8" s="25" t="s">
        <v>574</v>
      </c>
      <c r="D8" s="7">
        <f>1-D7</f>
        <v>0.37869822485207094</v>
      </c>
      <c r="E8" s="7">
        <f>1-E7</f>
        <v>0.37869822485207094</v>
      </c>
      <c r="I8" s="25"/>
    </row>
    <row r="9" spans="1:11">
      <c r="I9" s="25"/>
    </row>
    <row r="10" spans="1:11">
      <c r="I10" s="25"/>
    </row>
    <row r="18" spans="3:5">
      <c r="C18" s="1"/>
      <c r="D18" s="2"/>
      <c r="E18" s="2"/>
    </row>
    <row r="19" spans="3:5">
      <c r="C19" s="1"/>
      <c r="D19" s="2"/>
      <c r="E19" s="2"/>
    </row>
    <row r="20" spans="3:5">
      <c r="C20" s="1"/>
      <c r="D20" s="2"/>
      <c r="E20" s="2"/>
    </row>
    <row r="21" spans="3:5">
      <c r="C21" s="1"/>
      <c r="D21" s="2"/>
      <c r="E21" s="2"/>
    </row>
    <row r="22" spans="3:5">
      <c r="C22" s="1"/>
      <c r="D22" s="2"/>
      <c r="E22" s="2"/>
    </row>
    <row r="23" spans="3:5">
      <c r="C23" s="1"/>
      <c r="D23" s="2"/>
      <c r="E23" s="2"/>
    </row>
    <row r="24" spans="3:5">
      <c r="C24" s="1"/>
      <c r="D24" s="2"/>
      <c r="E24" s="2"/>
    </row>
  </sheetData>
  <phoneticPr fontId="42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D2:T8"/>
  <sheetViews>
    <sheetView workbookViewId="0">
      <selection activeCell="F5" sqref="F5"/>
    </sheetView>
  </sheetViews>
  <sheetFormatPr defaultRowHeight="12.75"/>
  <cols>
    <col min="1" max="3" width="9.140625" style="6"/>
    <col min="4" max="4" width="34.5703125" style="6" bestFit="1" customWidth="1"/>
    <col min="5" max="5" width="15.42578125" style="6" hidden="1" customWidth="1"/>
    <col min="6" max="7" width="15.42578125" style="6" bestFit="1" customWidth="1"/>
    <col min="8" max="20" width="15" style="6" bestFit="1" customWidth="1"/>
    <col min="21" max="16384" width="9.140625" style="6"/>
  </cols>
  <sheetData>
    <row r="2" spans="4:20" ht="30.75" customHeight="1">
      <c r="E2" s="6" t="s">
        <v>478</v>
      </c>
    </row>
    <row r="3" spans="4:20" ht="24.75" customHeight="1">
      <c r="E3" s="235"/>
      <c r="F3" s="235">
        <v>2022</v>
      </c>
      <c r="G3" s="235">
        <v>2023</v>
      </c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</row>
    <row r="4" spans="4:20" ht="37.5" customHeight="1">
      <c r="D4" s="6" t="s">
        <v>752</v>
      </c>
      <c r="E4" s="14"/>
      <c r="F4" s="14">
        <v>2657510.66</v>
      </c>
      <c r="G4" s="14">
        <v>2437651.4599999995</v>
      </c>
    </row>
    <row r="5" spans="4:20">
      <c r="D5" s="6" t="s">
        <v>753</v>
      </c>
      <c r="E5" s="14"/>
      <c r="F5" s="14">
        <f>+F4*0.52</f>
        <v>1381905.5432000002</v>
      </c>
      <c r="G5" s="14">
        <f>+G4*0.52</f>
        <v>1267578.7591999997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4:20">
      <c r="D6" s="6" t="s">
        <v>754</v>
      </c>
      <c r="E6" s="14"/>
      <c r="F6" s="14">
        <f>+F5*0.3</f>
        <v>414571.66296000005</v>
      </c>
      <c r="G6" s="14">
        <f>+G5*0.3</f>
        <v>380273.62775999989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4:20" ht="15">
      <c r="D7" s="236" t="s">
        <v>755</v>
      </c>
      <c r="E7" s="14"/>
      <c r="F7" s="237">
        <f>+F6*0.12</f>
        <v>49748.599555200002</v>
      </c>
      <c r="G7" s="237">
        <f>+G6*0.12</f>
        <v>45632.835331199982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4:20">
      <c r="D8" s="6" t="s">
        <v>150</v>
      </c>
      <c r="E8" s="137">
        <f>+E5+E6</f>
        <v>0</v>
      </c>
      <c r="F8" s="137">
        <f>+F7+F6</f>
        <v>464320.26251520007</v>
      </c>
      <c r="G8" s="137">
        <f>+G7+G6</f>
        <v>425906.46309119987</v>
      </c>
      <c r="H8" s="137"/>
      <c r="I8" s="137"/>
      <c r="J8" s="137"/>
      <c r="K8" s="137"/>
      <c r="L8" s="137"/>
      <c r="M8" s="137"/>
      <c r="N8" s="137"/>
      <c r="O8" s="137"/>
      <c r="P8" s="137">
        <f t="shared" ref="P8:T8" si="0">+P5+P6</f>
        <v>0</v>
      </c>
      <c r="Q8" s="137">
        <f t="shared" si="0"/>
        <v>0</v>
      </c>
      <c r="R8" s="137">
        <f t="shared" si="0"/>
        <v>0</v>
      </c>
      <c r="S8" s="137">
        <f t="shared" si="0"/>
        <v>0</v>
      </c>
      <c r="T8" s="137">
        <f t="shared" si="0"/>
        <v>0</v>
      </c>
    </row>
  </sheetData>
  <phoneticPr fontId="42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E19"/>
  <sheetViews>
    <sheetView workbookViewId="0">
      <selection activeCell="B28" sqref="B28"/>
    </sheetView>
  </sheetViews>
  <sheetFormatPr defaultRowHeight="12.75"/>
  <cols>
    <col min="1" max="1" width="32.28515625" style="6" bestFit="1" customWidth="1"/>
    <col min="2" max="2" width="5.42578125" style="6" bestFit="1" customWidth="1"/>
    <col min="3" max="5" width="14" style="6" bestFit="1" customWidth="1"/>
    <col min="6" max="16384" width="9.140625" style="6"/>
  </cols>
  <sheetData>
    <row r="1" spans="1:5" ht="15" customHeight="1">
      <c r="A1" s="234" t="s">
        <v>477</v>
      </c>
      <c r="B1" s="383"/>
      <c r="C1" s="383"/>
      <c r="D1" s="383"/>
      <c r="E1" s="383"/>
    </row>
    <row r="2" spans="1:5" ht="15" customHeight="1"/>
    <row r="3" spans="1:5" ht="15" customHeight="1"/>
    <row r="4" spans="1:5" ht="15" customHeight="1">
      <c r="D4" s="6" t="s">
        <v>739</v>
      </c>
      <c r="E4" s="6" t="s">
        <v>739</v>
      </c>
    </row>
    <row r="5" spans="1:5" ht="15" customHeight="1">
      <c r="D5" s="235">
        <v>2022</v>
      </c>
      <c r="E5" s="235">
        <v>2023</v>
      </c>
    </row>
    <row r="6" spans="1:5" ht="15" customHeight="1">
      <c r="C6" s="235"/>
      <c r="D6" s="384" t="s">
        <v>146</v>
      </c>
      <c r="E6" s="384" t="s">
        <v>146</v>
      </c>
    </row>
    <row r="7" spans="1:5" ht="15" customHeight="1">
      <c r="A7" s="6" t="s">
        <v>479</v>
      </c>
      <c r="B7" s="6" t="s">
        <v>480</v>
      </c>
      <c r="C7" s="384"/>
      <c r="D7" s="14">
        <v>3102448.3899999992</v>
      </c>
      <c r="E7" s="14">
        <v>3935735.92</v>
      </c>
    </row>
    <row r="8" spans="1:5" ht="15" customHeight="1">
      <c r="A8" s="6" t="s">
        <v>479</v>
      </c>
      <c r="B8" s="6" t="s">
        <v>481</v>
      </c>
      <c r="C8" s="384"/>
      <c r="D8" s="14">
        <v>277205.56</v>
      </c>
      <c r="E8" s="14">
        <v>290846.78999999998</v>
      </c>
    </row>
    <row r="9" spans="1:5" ht="15" customHeight="1">
      <c r="A9" s="6" t="s">
        <v>479</v>
      </c>
      <c r="B9" s="6" t="s">
        <v>482</v>
      </c>
      <c r="C9" s="384"/>
      <c r="D9" s="14">
        <v>7600230.2299999986</v>
      </c>
      <c r="E9" s="14">
        <v>7855897.4799999986</v>
      </c>
    </row>
    <row r="10" spans="1:5" ht="15" customHeight="1">
      <c r="A10" s="6" t="s">
        <v>479</v>
      </c>
      <c r="B10" s="6" t="s">
        <v>483</v>
      </c>
      <c r="C10" s="384"/>
      <c r="D10" s="14">
        <v>17540336.870000001</v>
      </c>
      <c r="E10" s="14">
        <v>18128011.060000002</v>
      </c>
    </row>
    <row r="11" spans="1:5" ht="15" customHeight="1">
      <c r="A11" s="6" t="s">
        <v>479</v>
      </c>
      <c r="B11" s="6" t="s">
        <v>484</v>
      </c>
      <c r="C11" s="384"/>
      <c r="D11" s="14">
        <v>8987595.9900000002</v>
      </c>
      <c r="E11" s="14">
        <v>9287408.3100000005</v>
      </c>
    </row>
    <row r="12" spans="1:5" ht="15" customHeight="1">
      <c r="A12" s="6" t="s">
        <v>479</v>
      </c>
      <c r="B12" s="6" t="s">
        <v>485</v>
      </c>
      <c r="C12" s="384"/>
      <c r="D12" s="14">
        <v>10557905.25</v>
      </c>
      <c r="E12" s="14">
        <v>10900333.91</v>
      </c>
    </row>
    <row r="13" spans="1:5" ht="15" customHeight="1">
      <c r="A13" s="6" t="s">
        <v>479</v>
      </c>
      <c r="B13" s="6" t="s">
        <v>150</v>
      </c>
      <c r="C13" s="384"/>
      <c r="D13" s="14">
        <v>48065722.289999999</v>
      </c>
      <c r="E13" s="14">
        <v>50398233.469999999</v>
      </c>
    </row>
    <row r="14" spans="1:5" ht="15" customHeight="1"/>
    <row r="15" spans="1:5" ht="15">
      <c r="A15" s="385" t="s">
        <v>486</v>
      </c>
      <c r="C15" s="102"/>
      <c r="D15" s="102">
        <v>0.15812162738645072</v>
      </c>
      <c r="E15" s="102">
        <v>0.15587644524636549</v>
      </c>
    </row>
    <row r="16" spans="1:5" ht="15" customHeight="1"/>
    <row r="17" ht="15" customHeight="1"/>
    <row r="18" ht="15" customHeight="1"/>
    <row r="19" ht="15" customHeight="1"/>
  </sheetData>
  <phoneticPr fontId="42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4:E8"/>
  <sheetViews>
    <sheetView workbookViewId="0">
      <selection activeCell="D7" sqref="D7"/>
    </sheetView>
  </sheetViews>
  <sheetFormatPr defaultRowHeight="12.75"/>
  <cols>
    <col min="1" max="1" width="5.42578125" customWidth="1"/>
    <col min="2" max="2" width="38.28515625" bestFit="1" customWidth="1"/>
    <col min="3" max="5" width="16.85546875" bestFit="1" customWidth="1"/>
  </cols>
  <sheetData>
    <row r="4" spans="1:5" ht="15.75">
      <c r="A4" s="139"/>
      <c r="B4" s="139"/>
      <c r="C4" s="132" t="s">
        <v>159</v>
      </c>
      <c r="D4" s="132" t="s">
        <v>160</v>
      </c>
      <c r="E4" s="132" t="s">
        <v>161</v>
      </c>
    </row>
    <row r="5" spans="1:5" ht="15.75">
      <c r="A5" s="139"/>
      <c r="B5" s="139"/>
      <c r="C5" s="132">
        <v>2020</v>
      </c>
      <c r="D5" s="132">
        <v>2021</v>
      </c>
      <c r="E5" s="132" t="s">
        <v>329</v>
      </c>
    </row>
    <row r="6" spans="1:5" ht="15.75">
      <c r="A6" s="133">
        <v>1</v>
      </c>
      <c r="B6" s="134" t="s">
        <v>555</v>
      </c>
      <c r="C6" s="140">
        <f>+'Revised Revenue Test'!E7</f>
        <v>2792560.5650605187</v>
      </c>
      <c r="D6" s="140">
        <f>+'Revised Revenue Test'!F7</f>
        <v>2756984.0391388019</v>
      </c>
      <c r="E6" s="141">
        <f>AVERAGE(C6:D6)</f>
        <v>2774772.30209966</v>
      </c>
    </row>
    <row r="7" spans="1:5" ht="18">
      <c r="A7" s="133">
        <v>2</v>
      </c>
      <c r="B7" s="134" t="s">
        <v>556</v>
      </c>
      <c r="C7" s="142">
        <f>+'Revised Revenue Test'!E44</f>
        <v>2656159.665888973</v>
      </c>
      <c r="D7" s="142">
        <f>+'Revised Revenue Test'!F44</f>
        <v>2659496.7520176833</v>
      </c>
      <c r="E7" s="143">
        <f>AVERAGE(C7:D7)</f>
        <v>2657828.2089533284</v>
      </c>
    </row>
    <row r="8" spans="1:5" ht="15.75">
      <c r="A8" s="133">
        <v>3</v>
      </c>
      <c r="B8" s="134" t="s">
        <v>557</v>
      </c>
      <c r="C8" s="141">
        <f>+C6-C7</f>
        <v>136400.89917154564</v>
      </c>
      <c r="D8" s="141">
        <f>+D6-D7</f>
        <v>97487.287121118512</v>
      </c>
      <c r="E8" s="141">
        <f>AVERAGE(C8:D8)</f>
        <v>116944.09314633207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-0.249977111117893"/>
  </sheetPr>
  <dimension ref="A1:AC57"/>
  <sheetViews>
    <sheetView topLeftCell="A34" workbookViewId="0">
      <selection activeCell="E44" sqref="E44"/>
    </sheetView>
  </sheetViews>
  <sheetFormatPr defaultRowHeight="12.75"/>
  <cols>
    <col min="1" max="1" width="3.5703125" customWidth="1"/>
    <col min="2" max="2" width="31.85546875" customWidth="1"/>
    <col min="3" max="3" width="11.5703125" customWidth="1"/>
    <col min="5" max="6" width="10.7109375" customWidth="1"/>
    <col min="9" max="9" width="10.7109375" customWidth="1"/>
    <col min="12" max="12" width="10.7109375" customWidth="1"/>
    <col min="15" max="15" width="10.7109375" customWidth="1"/>
    <col min="18" max="18" width="10.5703125" customWidth="1"/>
    <col min="21" max="21" width="10.42578125" customWidth="1"/>
    <col min="24" max="24" width="10.85546875" customWidth="1"/>
    <col min="25" max="25" width="11.28515625" bestFit="1" customWidth="1"/>
    <col min="27" max="27" width="11" customWidth="1"/>
    <col min="257" max="257" width="3.5703125" customWidth="1"/>
    <col min="258" max="258" width="31.85546875" customWidth="1"/>
    <col min="259" max="259" width="11.5703125" customWidth="1"/>
    <col min="261" max="262" width="10.7109375" customWidth="1"/>
    <col min="265" max="265" width="10.7109375" customWidth="1"/>
    <col min="268" max="268" width="10.7109375" customWidth="1"/>
    <col min="271" max="271" width="10.7109375" customWidth="1"/>
    <col min="274" max="274" width="10.5703125" customWidth="1"/>
    <col min="277" max="277" width="10.42578125" customWidth="1"/>
    <col min="280" max="280" width="10.85546875" customWidth="1"/>
    <col min="281" max="281" width="11.28515625" bestFit="1" customWidth="1"/>
    <col min="283" max="283" width="11" customWidth="1"/>
    <col min="513" max="513" width="3.5703125" customWidth="1"/>
    <col min="514" max="514" width="31.85546875" customWidth="1"/>
    <col min="515" max="515" width="11.5703125" customWidth="1"/>
    <col min="517" max="518" width="10.7109375" customWidth="1"/>
    <col min="521" max="521" width="10.7109375" customWidth="1"/>
    <col min="524" max="524" width="10.7109375" customWidth="1"/>
    <col min="527" max="527" width="10.7109375" customWidth="1"/>
    <col min="530" max="530" width="10.5703125" customWidth="1"/>
    <col min="533" max="533" width="10.42578125" customWidth="1"/>
    <col min="536" max="536" width="10.85546875" customWidth="1"/>
    <col min="537" max="537" width="11.28515625" bestFit="1" customWidth="1"/>
    <col min="539" max="539" width="11" customWidth="1"/>
    <col min="769" max="769" width="3.5703125" customWidth="1"/>
    <col min="770" max="770" width="31.85546875" customWidth="1"/>
    <col min="771" max="771" width="11.5703125" customWidth="1"/>
    <col min="773" max="774" width="10.7109375" customWidth="1"/>
    <col min="777" max="777" width="10.7109375" customWidth="1"/>
    <col min="780" max="780" width="10.7109375" customWidth="1"/>
    <col min="783" max="783" width="10.7109375" customWidth="1"/>
    <col min="786" max="786" width="10.5703125" customWidth="1"/>
    <col min="789" max="789" width="10.42578125" customWidth="1"/>
    <col min="792" max="792" width="10.85546875" customWidth="1"/>
    <col min="793" max="793" width="11.28515625" bestFit="1" customWidth="1"/>
    <col min="795" max="795" width="11" customWidth="1"/>
    <col min="1025" max="1025" width="3.5703125" customWidth="1"/>
    <col min="1026" max="1026" width="31.85546875" customWidth="1"/>
    <col min="1027" max="1027" width="11.5703125" customWidth="1"/>
    <col min="1029" max="1030" width="10.7109375" customWidth="1"/>
    <col min="1033" max="1033" width="10.7109375" customWidth="1"/>
    <col min="1036" max="1036" width="10.7109375" customWidth="1"/>
    <col min="1039" max="1039" width="10.7109375" customWidth="1"/>
    <col min="1042" max="1042" width="10.5703125" customWidth="1"/>
    <col min="1045" max="1045" width="10.42578125" customWidth="1"/>
    <col min="1048" max="1048" width="10.85546875" customWidth="1"/>
    <col min="1049" max="1049" width="11.28515625" bestFit="1" customWidth="1"/>
    <col min="1051" max="1051" width="11" customWidth="1"/>
    <col min="1281" max="1281" width="3.5703125" customWidth="1"/>
    <col min="1282" max="1282" width="31.85546875" customWidth="1"/>
    <col min="1283" max="1283" width="11.5703125" customWidth="1"/>
    <col min="1285" max="1286" width="10.7109375" customWidth="1"/>
    <col min="1289" max="1289" width="10.7109375" customWidth="1"/>
    <col min="1292" max="1292" width="10.7109375" customWidth="1"/>
    <col min="1295" max="1295" width="10.7109375" customWidth="1"/>
    <col min="1298" max="1298" width="10.5703125" customWidth="1"/>
    <col min="1301" max="1301" width="10.42578125" customWidth="1"/>
    <col min="1304" max="1304" width="10.85546875" customWidth="1"/>
    <col min="1305" max="1305" width="11.28515625" bestFit="1" customWidth="1"/>
    <col min="1307" max="1307" width="11" customWidth="1"/>
    <col min="1537" max="1537" width="3.5703125" customWidth="1"/>
    <col min="1538" max="1538" width="31.85546875" customWidth="1"/>
    <col min="1539" max="1539" width="11.5703125" customWidth="1"/>
    <col min="1541" max="1542" width="10.7109375" customWidth="1"/>
    <col min="1545" max="1545" width="10.7109375" customWidth="1"/>
    <col min="1548" max="1548" width="10.7109375" customWidth="1"/>
    <col min="1551" max="1551" width="10.7109375" customWidth="1"/>
    <col min="1554" max="1554" width="10.5703125" customWidth="1"/>
    <col min="1557" max="1557" width="10.42578125" customWidth="1"/>
    <col min="1560" max="1560" width="10.85546875" customWidth="1"/>
    <col min="1561" max="1561" width="11.28515625" bestFit="1" customWidth="1"/>
    <col min="1563" max="1563" width="11" customWidth="1"/>
    <col min="1793" max="1793" width="3.5703125" customWidth="1"/>
    <col min="1794" max="1794" width="31.85546875" customWidth="1"/>
    <col min="1795" max="1795" width="11.5703125" customWidth="1"/>
    <col min="1797" max="1798" width="10.7109375" customWidth="1"/>
    <col min="1801" max="1801" width="10.7109375" customWidth="1"/>
    <col min="1804" max="1804" width="10.7109375" customWidth="1"/>
    <col min="1807" max="1807" width="10.7109375" customWidth="1"/>
    <col min="1810" max="1810" width="10.5703125" customWidth="1"/>
    <col min="1813" max="1813" width="10.42578125" customWidth="1"/>
    <col min="1816" max="1816" width="10.85546875" customWidth="1"/>
    <col min="1817" max="1817" width="11.28515625" bestFit="1" customWidth="1"/>
    <col min="1819" max="1819" width="11" customWidth="1"/>
    <col min="2049" max="2049" width="3.5703125" customWidth="1"/>
    <col min="2050" max="2050" width="31.85546875" customWidth="1"/>
    <col min="2051" max="2051" width="11.5703125" customWidth="1"/>
    <col min="2053" max="2054" width="10.7109375" customWidth="1"/>
    <col min="2057" max="2057" width="10.7109375" customWidth="1"/>
    <col min="2060" max="2060" width="10.7109375" customWidth="1"/>
    <col min="2063" max="2063" width="10.7109375" customWidth="1"/>
    <col min="2066" max="2066" width="10.5703125" customWidth="1"/>
    <col min="2069" max="2069" width="10.42578125" customWidth="1"/>
    <col min="2072" max="2072" width="10.85546875" customWidth="1"/>
    <col min="2073" max="2073" width="11.28515625" bestFit="1" customWidth="1"/>
    <col min="2075" max="2075" width="11" customWidth="1"/>
    <col min="2305" max="2305" width="3.5703125" customWidth="1"/>
    <col min="2306" max="2306" width="31.85546875" customWidth="1"/>
    <col min="2307" max="2307" width="11.5703125" customWidth="1"/>
    <col min="2309" max="2310" width="10.7109375" customWidth="1"/>
    <col min="2313" max="2313" width="10.7109375" customWidth="1"/>
    <col min="2316" max="2316" width="10.7109375" customWidth="1"/>
    <col min="2319" max="2319" width="10.7109375" customWidth="1"/>
    <col min="2322" max="2322" width="10.5703125" customWidth="1"/>
    <col min="2325" max="2325" width="10.42578125" customWidth="1"/>
    <col min="2328" max="2328" width="10.85546875" customWidth="1"/>
    <col min="2329" max="2329" width="11.28515625" bestFit="1" customWidth="1"/>
    <col min="2331" max="2331" width="11" customWidth="1"/>
    <col min="2561" max="2561" width="3.5703125" customWidth="1"/>
    <col min="2562" max="2562" width="31.85546875" customWidth="1"/>
    <col min="2563" max="2563" width="11.5703125" customWidth="1"/>
    <col min="2565" max="2566" width="10.7109375" customWidth="1"/>
    <col min="2569" max="2569" width="10.7109375" customWidth="1"/>
    <col min="2572" max="2572" width="10.7109375" customWidth="1"/>
    <col min="2575" max="2575" width="10.7109375" customWidth="1"/>
    <col min="2578" max="2578" width="10.5703125" customWidth="1"/>
    <col min="2581" max="2581" width="10.42578125" customWidth="1"/>
    <col min="2584" max="2584" width="10.85546875" customWidth="1"/>
    <col min="2585" max="2585" width="11.28515625" bestFit="1" customWidth="1"/>
    <col min="2587" max="2587" width="11" customWidth="1"/>
    <col min="2817" max="2817" width="3.5703125" customWidth="1"/>
    <col min="2818" max="2818" width="31.85546875" customWidth="1"/>
    <col min="2819" max="2819" width="11.5703125" customWidth="1"/>
    <col min="2821" max="2822" width="10.7109375" customWidth="1"/>
    <col min="2825" max="2825" width="10.7109375" customWidth="1"/>
    <col min="2828" max="2828" width="10.7109375" customWidth="1"/>
    <col min="2831" max="2831" width="10.7109375" customWidth="1"/>
    <col min="2834" max="2834" width="10.5703125" customWidth="1"/>
    <col min="2837" max="2837" width="10.42578125" customWidth="1"/>
    <col min="2840" max="2840" width="10.85546875" customWidth="1"/>
    <col min="2841" max="2841" width="11.28515625" bestFit="1" customWidth="1"/>
    <col min="2843" max="2843" width="11" customWidth="1"/>
    <col min="3073" max="3073" width="3.5703125" customWidth="1"/>
    <col min="3074" max="3074" width="31.85546875" customWidth="1"/>
    <col min="3075" max="3075" width="11.5703125" customWidth="1"/>
    <col min="3077" max="3078" width="10.7109375" customWidth="1"/>
    <col min="3081" max="3081" width="10.7109375" customWidth="1"/>
    <col min="3084" max="3084" width="10.7109375" customWidth="1"/>
    <col min="3087" max="3087" width="10.7109375" customWidth="1"/>
    <col min="3090" max="3090" width="10.5703125" customWidth="1"/>
    <col min="3093" max="3093" width="10.42578125" customWidth="1"/>
    <col min="3096" max="3096" width="10.85546875" customWidth="1"/>
    <col min="3097" max="3097" width="11.28515625" bestFit="1" customWidth="1"/>
    <col min="3099" max="3099" width="11" customWidth="1"/>
    <col min="3329" max="3329" width="3.5703125" customWidth="1"/>
    <col min="3330" max="3330" width="31.85546875" customWidth="1"/>
    <col min="3331" max="3331" width="11.5703125" customWidth="1"/>
    <col min="3333" max="3334" width="10.7109375" customWidth="1"/>
    <col min="3337" max="3337" width="10.7109375" customWidth="1"/>
    <col min="3340" max="3340" width="10.7109375" customWidth="1"/>
    <col min="3343" max="3343" width="10.7109375" customWidth="1"/>
    <col min="3346" max="3346" width="10.5703125" customWidth="1"/>
    <col min="3349" max="3349" width="10.42578125" customWidth="1"/>
    <col min="3352" max="3352" width="10.85546875" customWidth="1"/>
    <col min="3353" max="3353" width="11.28515625" bestFit="1" customWidth="1"/>
    <col min="3355" max="3355" width="11" customWidth="1"/>
    <col min="3585" max="3585" width="3.5703125" customWidth="1"/>
    <col min="3586" max="3586" width="31.85546875" customWidth="1"/>
    <col min="3587" max="3587" width="11.5703125" customWidth="1"/>
    <col min="3589" max="3590" width="10.7109375" customWidth="1"/>
    <col min="3593" max="3593" width="10.7109375" customWidth="1"/>
    <col min="3596" max="3596" width="10.7109375" customWidth="1"/>
    <col min="3599" max="3599" width="10.7109375" customWidth="1"/>
    <col min="3602" max="3602" width="10.5703125" customWidth="1"/>
    <col min="3605" max="3605" width="10.42578125" customWidth="1"/>
    <col min="3608" max="3608" width="10.85546875" customWidth="1"/>
    <col min="3609" max="3609" width="11.28515625" bestFit="1" customWidth="1"/>
    <col min="3611" max="3611" width="11" customWidth="1"/>
    <col min="3841" max="3841" width="3.5703125" customWidth="1"/>
    <col min="3842" max="3842" width="31.85546875" customWidth="1"/>
    <col min="3843" max="3843" width="11.5703125" customWidth="1"/>
    <col min="3845" max="3846" width="10.7109375" customWidth="1"/>
    <col min="3849" max="3849" width="10.7109375" customWidth="1"/>
    <col min="3852" max="3852" width="10.7109375" customWidth="1"/>
    <col min="3855" max="3855" width="10.7109375" customWidth="1"/>
    <col min="3858" max="3858" width="10.5703125" customWidth="1"/>
    <col min="3861" max="3861" width="10.42578125" customWidth="1"/>
    <col min="3864" max="3864" width="10.85546875" customWidth="1"/>
    <col min="3865" max="3865" width="11.28515625" bestFit="1" customWidth="1"/>
    <col min="3867" max="3867" width="11" customWidth="1"/>
    <col min="4097" max="4097" width="3.5703125" customWidth="1"/>
    <col min="4098" max="4098" width="31.85546875" customWidth="1"/>
    <col min="4099" max="4099" width="11.5703125" customWidth="1"/>
    <col min="4101" max="4102" width="10.7109375" customWidth="1"/>
    <col min="4105" max="4105" width="10.7109375" customWidth="1"/>
    <col min="4108" max="4108" width="10.7109375" customWidth="1"/>
    <col min="4111" max="4111" width="10.7109375" customWidth="1"/>
    <col min="4114" max="4114" width="10.5703125" customWidth="1"/>
    <col min="4117" max="4117" width="10.42578125" customWidth="1"/>
    <col min="4120" max="4120" width="10.85546875" customWidth="1"/>
    <col min="4121" max="4121" width="11.28515625" bestFit="1" customWidth="1"/>
    <col min="4123" max="4123" width="11" customWidth="1"/>
    <col min="4353" max="4353" width="3.5703125" customWidth="1"/>
    <col min="4354" max="4354" width="31.85546875" customWidth="1"/>
    <col min="4355" max="4355" width="11.5703125" customWidth="1"/>
    <col min="4357" max="4358" width="10.7109375" customWidth="1"/>
    <col min="4361" max="4361" width="10.7109375" customWidth="1"/>
    <col min="4364" max="4364" width="10.7109375" customWidth="1"/>
    <col min="4367" max="4367" width="10.7109375" customWidth="1"/>
    <col min="4370" max="4370" width="10.5703125" customWidth="1"/>
    <col min="4373" max="4373" width="10.42578125" customWidth="1"/>
    <col min="4376" max="4376" width="10.85546875" customWidth="1"/>
    <col min="4377" max="4377" width="11.28515625" bestFit="1" customWidth="1"/>
    <col min="4379" max="4379" width="11" customWidth="1"/>
    <col min="4609" max="4609" width="3.5703125" customWidth="1"/>
    <col min="4610" max="4610" width="31.85546875" customWidth="1"/>
    <col min="4611" max="4611" width="11.5703125" customWidth="1"/>
    <col min="4613" max="4614" width="10.7109375" customWidth="1"/>
    <col min="4617" max="4617" width="10.7109375" customWidth="1"/>
    <col min="4620" max="4620" width="10.7109375" customWidth="1"/>
    <col min="4623" max="4623" width="10.7109375" customWidth="1"/>
    <col min="4626" max="4626" width="10.5703125" customWidth="1"/>
    <col min="4629" max="4629" width="10.42578125" customWidth="1"/>
    <col min="4632" max="4632" width="10.85546875" customWidth="1"/>
    <col min="4633" max="4633" width="11.28515625" bestFit="1" customWidth="1"/>
    <col min="4635" max="4635" width="11" customWidth="1"/>
    <col min="4865" max="4865" width="3.5703125" customWidth="1"/>
    <col min="4866" max="4866" width="31.85546875" customWidth="1"/>
    <col min="4867" max="4867" width="11.5703125" customWidth="1"/>
    <col min="4869" max="4870" width="10.7109375" customWidth="1"/>
    <col min="4873" max="4873" width="10.7109375" customWidth="1"/>
    <col min="4876" max="4876" width="10.7109375" customWidth="1"/>
    <col min="4879" max="4879" width="10.7109375" customWidth="1"/>
    <col min="4882" max="4882" width="10.5703125" customWidth="1"/>
    <col min="4885" max="4885" width="10.42578125" customWidth="1"/>
    <col min="4888" max="4888" width="10.85546875" customWidth="1"/>
    <col min="4889" max="4889" width="11.28515625" bestFit="1" customWidth="1"/>
    <col min="4891" max="4891" width="11" customWidth="1"/>
    <col min="5121" max="5121" width="3.5703125" customWidth="1"/>
    <col min="5122" max="5122" width="31.85546875" customWidth="1"/>
    <col min="5123" max="5123" width="11.5703125" customWidth="1"/>
    <col min="5125" max="5126" width="10.7109375" customWidth="1"/>
    <col min="5129" max="5129" width="10.7109375" customWidth="1"/>
    <col min="5132" max="5132" width="10.7109375" customWidth="1"/>
    <col min="5135" max="5135" width="10.7109375" customWidth="1"/>
    <col min="5138" max="5138" width="10.5703125" customWidth="1"/>
    <col min="5141" max="5141" width="10.42578125" customWidth="1"/>
    <col min="5144" max="5144" width="10.85546875" customWidth="1"/>
    <col min="5145" max="5145" width="11.28515625" bestFit="1" customWidth="1"/>
    <col min="5147" max="5147" width="11" customWidth="1"/>
    <col min="5377" max="5377" width="3.5703125" customWidth="1"/>
    <col min="5378" max="5378" width="31.85546875" customWidth="1"/>
    <col min="5379" max="5379" width="11.5703125" customWidth="1"/>
    <col min="5381" max="5382" width="10.7109375" customWidth="1"/>
    <col min="5385" max="5385" width="10.7109375" customWidth="1"/>
    <col min="5388" max="5388" width="10.7109375" customWidth="1"/>
    <col min="5391" max="5391" width="10.7109375" customWidth="1"/>
    <col min="5394" max="5394" width="10.5703125" customWidth="1"/>
    <col min="5397" max="5397" width="10.42578125" customWidth="1"/>
    <col min="5400" max="5400" width="10.85546875" customWidth="1"/>
    <col min="5401" max="5401" width="11.28515625" bestFit="1" customWidth="1"/>
    <col min="5403" max="5403" width="11" customWidth="1"/>
    <col min="5633" max="5633" width="3.5703125" customWidth="1"/>
    <col min="5634" max="5634" width="31.85546875" customWidth="1"/>
    <col min="5635" max="5635" width="11.5703125" customWidth="1"/>
    <col min="5637" max="5638" width="10.7109375" customWidth="1"/>
    <col min="5641" max="5641" width="10.7109375" customWidth="1"/>
    <col min="5644" max="5644" width="10.7109375" customWidth="1"/>
    <col min="5647" max="5647" width="10.7109375" customWidth="1"/>
    <col min="5650" max="5650" width="10.5703125" customWidth="1"/>
    <col min="5653" max="5653" width="10.42578125" customWidth="1"/>
    <col min="5656" max="5656" width="10.85546875" customWidth="1"/>
    <col min="5657" max="5657" width="11.28515625" bestFit="1" customWidth="1"/>
    <col min="5659" max="5659" width="11" customWidth="1"/>
    <col min="5889" max="5889" width="3.5703125" customWidth="1"/>
    <col min="5890" max="5890" width="31.85546875" customWidth="1"/>
    <col min="5891" max="5891" width="11.5703125" customWidth="1"/>
    <col min="5893" max="5894" width="10.7109375" customWidth="1"/>
    <col min="5897" max="5897" width="10.7109375" customWidth="1"/>
    <col min="5900" max="5900" width="10.7109375" customWidth="1"/>
    <col min="5903" max="5903" width="10.7109375" customWidth="1"/>
    <col min="5906" max="5906" width="10.5703125" customWidth="1"/>
    <col min="5909" max="5909" width="10.42578125" customWidth="1"/>
    <col min="5912" max="5912" width="10.85546875" customWidth="1"/>
    <col min="5913" max="5913" width="11.28515625" bestFit="1" customWidth="1"/>
    <col min="5915" max="5915" width="11" customWidth="1"/>
    <col min="6145" max="6145" width="3.5703125" customWidth="1"/>
    <col min="6146" max="6146" width="31.85546875" customWidth="1"/>
    <col min="6147" max="6147" width="11.5703125" customWidth="1"/>
    <col min="6149" max="6150" width="10.7109375" customWidth="1"/>
    <col min="6153" max="6153" width="10.7109375" customWidth="1"/>
    <col min="6156" max="6156" width="10.7109375" customWidth="1"/>
    <col min="6159" max="6159" width="10.7109375" customWidth="1"/>
    <col min="6162" max="6162" width="10.5703125" customWidth="1"/>
    <col min="6165" max="6165" width="10.42578125" customWidth="1"/>
    <col min="6168" max="6168" width="10.85546875" customWidth="1"/>
    <col min="6169" max="6169" width="11.28515625" bestFit="1" customWidth="1"/>
    <col min="6171" max="6171" width="11" customWidth="1"/>
    <col min="6401" max="6401" width="3.5703125" customWidth="1"/>
    <col min="6402" max="6402" width="31.85546875" customWidth="1"/>
    <col min="6403" max="6403" width="11.5703125" customWidth="1"/>
    <col min="6405" max="6406" width="10.7109375" customWidth="1"/>
    <col min="6409" max="6409" width="10.7109375" customWidth="1"/>
    <col min="6412" max="6412" width="10.7109375" customWidth="1"/>
    <col min="6415" max="6415" width="10.7109375" customWidth="1"/>
    <col min="6418" max="6418" width="10.5703125" customWidth="1"/>
    <col min="6421" max="6421" width="10.42578125" customWidth="1"/>
    <col min="6424" max="6424" width="10.85546875" customWidth="1"/>
    <col min="6425" max="6425" width="11.28515625" bestFit="1" customWidth="1"/>
    <col min="6427" max="6427" width="11" customWidth="1"/>
    <col min="6657" max="6657" width="3.5703125" customWidth="1"/>
    <col min="6658" max="6658" width="31.85546875" customWidth="1"/>
    <col min="6659" max="6659" width="11.5703125" customWidth="1"/>
    <col min="6661" max="6662" width="10.7109375" customWidth="1"/>
    <col min="6665" max="6665" width="10.7109375" customWidth="1"/>
    <col min="6668" max="6668" width="10.7109375" customWidth="1"/>
    <col min="6671" max="6671" width="10.7109375" customWidth="1"/>
    <col min="6674" max="6674" width="10.5703125" customWidth="1"/>
    <col min="6677" max="6677" width="10.42578125" customWidth="1"/>
    <col min="6680" max="6680" width="10.85546875" customWidth="1"/>
    <col min="6681" max="6681" width="11.28515625" bestFit="1" customWidth="1"/>
    <col min="6683" max="6683" width="11" customWidth="1"/>
    <col min="6913" max="6913" width="3.5703125" customWidth="1"/>
    <col min="6914" max="6914" width="31.85546875" customWidth="1"/>
    <col min="6915" max="6915" width="11.5703125" customWidth="1"/>
    <col min="6917" max="6918" width="10.7109375" customWidth="1"/>
    <col min="6921" max="6921" width="10.7109375" customWidth="1"/>
    <col min="6924" max="6924" width="10.7109375" customWidth="1"/>
    <col min="6927" max="6927" width="10.7109375" customWidth="1"/>
    <col min="6930" max="6930" width="10.5703125" customWidth="1"/>
    <col min="6933" max="6933" width="10.42578125" customWidth="1"/>
    <col min="6936" max="6936" width="10.85546875" customWidth="1"/>
    <col min="6937" max="6937" width="11.28515625" bestFit="1" customWidth="1"/>
    <col min="6939" max="6939" width="11" customWidth="1"/>
    <col min="7169" max="7169" width="3.5703125" customWidth="1"/>
    <col min="7170" max="7170" width="31.85546875" customWidth="1"/>
    <col min="7171" max="7171" width="11.5703125" customWidth="1"/>
    <col min="7173" max="7174" width="10.7109375" customWidth="1"/>
    <col min="7177" max="7177" width="10.7109375" customWidth="1"/>
    <col min="7180" max="7180" width="10.7109375" customWidth="1"/>
    <col min="7183" max="7183" width="10.7109375" customWidth="1"/>
    <col min="7186" max="7186" width="10.5703125" customWidth="1"/>
    <col min="7189" max="7189" width="10.42578125" customWidth="1"/>
    <col min="7192" max="7192" width="10.85546875" customWidth="1"/>
    <col min="7193" max="7193" width="11.28515625" bestFit="1" customWidth="1"/>
    <col min="7195" max="7195" width="11" customWidth="1"/>
    <col min="7425" max="7425" width="3.5703125" customWidth="1"/>
    <col min="7426" max="7426" width="31.85546875" customWidth="1"/>
    <col min="7427" max="7427" width="11.5703125" customWidth="1"/>
    <col min="7429" max="7430" width="10.7109375" customWidth="1"/>
    <col min="7433" max="7433" width="10.7109375" customWidth="1"/>
    <col min="7436" max="7436" width="10.7109375" customWidth="1"/>
    <col min="7439" max="7439" width="10.7109375" customWidth="1"/>
    <col min="7442" max="7442" width="10.5703125" customWidth="1"/>
    <col min="7445" max="7445" width="10.42578125" customWidth="1"/>
    <col min="7448" max="7448" width="10.85546875" customWidth="1"/>
    <col min="7449" max="7449" width="11.28515625" bestFit="1" customWidth="1"/>
    <col min="7451" max="7451" width="11" customWidth="1"/>
    <col min="7681" max="7681" width="3.5703125" customWidth="1"/>
    <col min="7682" max="7682" width="31.85546875" customWidth="1"/>
    <col min="7683" max="7683" width="11.5703125" customWidth="1"/>
    <col min="7685" max="7686" width="10.7109375" customWidth="1"/>
    <col min="7689" max="7689" width="10.7109375" customWidth="1"/>
    <col min="7692" max="7692" width="10.7109375" customWidth="1"/>
    <col min="7695" max="7695" width="10.7109375" customWidth="1"/>
    <col min="7698" max="7698" width="10.5703125" customWidth="1"/>
    <col min="7701" max="7701" width="10.42578125" customWidth="1"/>
    <col min="7704" max="7704" width="10.85546875" customWidth="1"/>
    <col min="7705" max="7705" width="11.28515625" bestFit="1" customWidth="1"/>
    <col min="7707" max="7707" width="11" customWidth="1"/>
    <col min="7937" max="7937" width="3.5703125" customWidth="1"/>
    <col min="7938" max="7938" width="31.85546875" customWidth="1"/>
    <col min="7939" max="7939" width="11.5703125" customWidth="1"/>
    <col min="7941" max="7942" width="10.7109375" customWidth="1"/>
    <col min="7945" max="7945" width="10.7109375" customWidth="1"/>
    <col min="7948" max="7948" width="10.7109375" customWidth="1"/>
    <col min="7951" max="7951" width="10.7109375" customWidth="1"/>
    <col min="7954" max="7954" width="10.5703125" customWidth="1"/>
    <col min="7957" max="7957" width="10.42578125" customWidth="1"/>
    <col min="7960" max="7960" width="10.85546875" customWidth="1"/>
    <col min="7961" max="7961" width="11.28515625" bestFit="1" customWidth="1"/>
    <col min="7963" max="7963" width="11" customWidth="1"/>
    <col min="8193" max="8193" width="3.5703125" customWidth="1"/>
    <col min="8194" max="8194" width="31.85546875" customWidth="1"/>
    <col min="8195" max="8195" width="11.5703125" customWidth="1"/>
    <col min="8197" max="8198" width="10.7109375" customWidth="1"/>
    <col min="8201" max="8201" width="10.7109375" customWidth="1"/>
    <col min="8204" max="8204" width="10.7109375" customWidth="1"/>
    <col min="8207" max="8207" width="10.7109375" customWidth="1"/>
    <col min="8210" max="8210" width="10.5703125" customWidth="1"/>
    <col min="8213" max="8213" width="10.42578125" customWidth="1"/>
    <col min="8216" max="8216" width="10.85546875" customWidth="1"/>
    <col min="8217" max="8217" width="11.28515625" bestFit="1" customWidth="1"/>
    <col min="8219" max="8219" width="11" customWidth="1"/>
    <col min="8449" max="8449" width="3.5703125" customWidth="1"/>
    <col min="8450" max="8450" width="31.85546875" customWidth="1"/>
    <col min="8451" max="8451" width="11.5703125" customWidth="1"/>
    <col min="8453" max="8454" width="10.7109375" customWidth="1"/>
    <col min="8457" max="8457" width="10.7109375" customWidth="1"/>
    <col min="8460" max="8460" width="10.7109375" customWidth="1"/>
    <col min="8463" max="8463" width="10.7109375" customWidth="1"/>
    <col min="8466" max="8466" width="10.5703125" customWidth="1"/>
    <col min="8469" max="8469" width="10.42578125" customWidth="1"/>
    <col min="8472" max="8472" width="10.85546875" customWidth="1"/>
    <col min="8473" max="8473" width="11.28515625" bestFit="1" customWidth="1"/>
    <col min="8475" max="8475" width="11" customWidth="1"/>
    <col min="8705" max="8705" width="3.5703125" customWidth="1"/>
    <col min="8706" max="8706" width="31.85546875" customWidth="1"/>
    <col min="8707" max="8707" width="11.5703125" customWidth="1"/>
    <col min="8709" max="8710" width="10.7109375" customWidth="1"/>
    <col min="8713" max="8713" width="10.7109375" customWidth="1"/>
    <col min="8716" max="8716" width="10.7109375" customWidth="1"/>
    <col min="8719" max="8719" width="10.7109375" customWidth="1"/>
    <col min="8722" max="8722" width="10.5703125" customWidth="1"/>
    <col min="8725" max="8725" width="10.42578125" customWidth="1"/>
    <col min="8728" max="8728" width="10.85546875" customWidth="1"/>
    <col min="8729" max="8729" width="11.28515625" bestFit="1" customWidth="1"/>
    <col min="8731" max="8731" width="11" customWidth="1"/>
    <col min="8961" max="8961" width="3.5703125" customWidth="1"/>
    <col min="8962" max="8962" width="31.85546875" customWidth="1"/>
    <col min="8963" max="8963" width="11.5703125" customWidth="1"/>
    <col min="8965" max="8966" width="10.7109375" customWidth="1"/>
    <col min="8969" max="8969" width="10.7109375" customWidth="1"/>
    <col min="8972" max="8972" width="10.7109375" customWidth="1"/>
    <col min="8975" max="8975" width="10.7109375" customWidth="1"/>
    <col min="8978" max="8978" width="10.5703125" customWidth="1"/>
    <col min="8981" max="8981" width="10.42578125" customWidth="1"/>
    <col min="8984" max="8984" width="10.85546875" customWidth="1"/>
    <col min="8985" max="8985" width="11.28515625" bestFit="1" customWidth="1"/>
    <col min="8987" max="8987" width="11" customWidth="1"/>
    <col min="9217" max="9217" width="3.5703125" customWidth="1"/>
    <col min="9218" max="9218" width="31.85546875" customWidth="1"/>
    <col min="9219" max="9219" width="11.5703125" customWidth="1"/>
    <col min="9221" max="9222" width="10.7109375" customWidth="1"/>
    <col min="9225" max="9225" width="10.7109375" customWidth="1"/>
    <col min="9228" max="9228" width="10.7109375" customWidth="1"/>
    <col min="9231" max="9231" width="10.7109375" customWidth="1"/>
    <col min="9234" max="9234" width="10.5703125" customWidth="1"/>
    <col min="9237" max="9237" width="10.42578125" customWidth="1"/>
    <col min="9240" max="9240" width="10.85546875" customWidth="1"/>
    <col min="9241" max="9241" width="11.28515625" bestFit="1" customWidth="1"/>
    <col min="9243" max="9243" width="11" customWidth="1"/>
    <col min="9473" max="9473" width="3.5703125" customWidth="1"/>
    <col min="9474" max="9474" width="31.85546875" customWidth="1"/>
    <col min="9475" max="9475" width="11.5703125" customWidth="1"/>
    <col min="9477" max="9478" width="10.7109375" customWidth="1"/>
    <col min="9481" max="9481" width="10.7109375" customWidth="1"/>
    <col min="9484" max="9484" width="10.7109375" customWidth="1"/>
    <col min="9487" max="9487" width="10.7109375" customWidth="1"/>
    <col min="9490" max="9490" width="10.5703125" customWidth="1"/>
    <col min="9493" max="9493" width="10.42578125" customWidth="1"/>
    <col min="9496" max="9496" width="10.85546875" customWidth="1"/>
    <col min="9497" max="9497" width="11.28515625" bestFit="1" customWidth="1"/>
    <col min="9499" max="9499" width="11" customWidth="1"/>
    <col min="9729" max="9729" width="3.5703125" customWidth="1"/>
    <col min="9730" max="9730" width="31.85546875" customWidth="1"/>
    <col min="9731" max="9731" width="11.5703125" customWidth="1"/>
    <col min="9733" max="9734" width="10.7109375" customWidth="1"/>
    <col min="9737" max="9737" width="10.7109375" customWidth="1"/>
    <col min="9740" max="9740" width="10.7109375" customWidth="1"/>
    <col min="9743" max="9743" width="10.7109375" customWidth="1"/>
    <col min="9746" max="9746" width="10.5703125" customWidth="1"/>
    <col min="9749" max="9749" width="10.42578125" customWidth="1"/>
    <col min="9752" max="9752" width="10.85546875" customWidth="1"/>
    <col min="9753" max="9753" width="11.28515625" bestFit="1" customWidth="1"/>
    <col min="9755" max="9755" width="11" customWidth="1"/>
    <col min="9985" max="9985" width="3.5703125" customWidth="1"/>
    <col min="9986" max="9986" width="31.85546875" customWidth="1"/>
    <col min="9987" max="9987" width="11.5703125" customWidth="1"/>
    <col min="9989" max="9990" width="10.7109375" customWidth="1"/>
    <col min="9993" max="9993" width="10.7109375" customWidth="1"/>
    <col min="9996" max="9996" width="10.7109375" customWidth="1"/>
    <col min="9999" max="9999" width="10.7109375" customWidth="1"/>
    <col min="10002" max="10002" width="10.5703125" customWidth="1"/>
    <col min="10005" max="10005" width="10.42578125" customWidth="1"/>
    <col min="10008" max="10008" width="10.85546875" customWidth="1"/>
    <col min="10009" max="10009" width="11.28515625" bestFit="1" customWidth="1"/>
    <col min="10011" max="10011" width="11" customWidth="1"/>
    <col min="10241" max="10241" width="3.5703125" customWidth="1"/>
    <col min="10242" max="10242" width="31.85546875" customWidth="1"/>
    <col min="10243" max="10243" width="11.5703125" customWidth="1"/>
    <col min="10245" max="10246" width="10.7109375" customWidth="1"/>
    <col min="10249" max="10249" width="10.7109375" customWidth="1"/>
    <col min="10252" max="10252" width="10.7109375" customWidth="1"/>
    <col min="10255" max="10255" width="10.7109375" customWidth="1"/>
    <col min="10258" max="10258" width="10.5703125" customWidth="1"/>
    <col min="10261" max="10261" width="10.42578125" customWidth="1"/>
    <col min="10264" max="10264" width="10.85546875" customWidth="1"/>
    <col min="10265" max="10265" width="11.28515625" bestFit="1" customWidth="1"/>
    <col min="10267" max="10267" width="11" customWidth="1"/>
    <col min="10497" max="10497" width="3.5703125" customWidth="1"/>
    <col min="10498" max="10498" width="31.85546875" customWidth="1"/>
    <col min="10499" max="10499" width="11.5703125" customWidth="1"/>
    <col min="10501" max="10502" width="10.7109375" customWidth="1"/>
    <col min="10505" max="10505" width="10.7109375" customWidth="1"/>
    <col min="10508" max="10508" width="10.7109375" customWidth="1"/>
    <col min="10511" max="10511" width="10.7109375" customWidth="1"/>
    <col min="10514" max="10514" width="10.5703125" customWidth="1"/>
    <col min="10517" max="10517" width="10.42578125" customWidth="1"/>
    <col min="10520" max="10520" width="10.85546875" customWidth="1"/>
    <col min="10521" max="10521" width="11.28515625" bestFit="1" customWidth="1"/>
    <col min="10523" max="10523" width="11" customWidth="1"/>
    <col min="10753" max="10753" width="3.5703125" customWidth="1"/>
    <col min="10754" max="10754" width="31.85546875" customWidth="1"/>
    <col min="10755" max="10755" width="11.5703125" customWidth="1"/>
    <col min="10757" max="10758" width="10.7109375" customWidth="1"/>
    <col min="10761" max="10761" width="10.7109375" customWidth="1"/>
    <col min="10764" max="10764" width="10.7109375" customWidth="1"/>
    <col min="10767" max="10767" width="10.7109375" customWidth="1"/>
    <col min="10770" max="10770" width="10.5703125" customWidth="1"/>
    <col min="10773" max="10773" width="10.42578125" customWidth="1"/>
    <col min="10776" max="10776" width="10.85546875" customWidth="1"/>
    <col min="10777" max="10777" width="11.28515625" bestFit="1" customWidth="1"/>
    <col min="10779" max="10779" width="11" customWidth="1"/>
    <col min="11009" max="11009" width="3.5703125" customWidth="1"/>
    <col min="11010" max="11010" width="31.85546875" customWidth="1"/>
    <col min="11011" max="11011" width="11.5703125" customWidth="1"/>
    <col min="11013" max="11014" width="10.7109375" customWidth="1"/>
    <col min="11017" max="11017" width="10.7109375" customWidth="1"/>
    <col min="11020" max="11020" width="10.7109375" customWidth="1"/>
    <col min="11023" max="11023" width="10.7109375" customWidth="1"/>
    <col min="11026" max="11026" width="10.5703125" customWidth="1"/>
    <col min="11029" max="11029" width="10.42578125" customWidth="1"/>
    <col min="11032" max="11032" width="10.85546875" customWidth="1"/>
    <col min="11033" max="11033" width="11.28515625" bestFit="1" customWidth="1"/>
    <col min="11035" max="11035" width="11" customWidth="1"/>
    <col min="11265" max="11265" width="3.5703125" customWidth="1"/>
    <col min="11266" max="11266" width="31.85546875" customWidth="1"/>
    <col min="11267" max="11267" width="11.5703125" customWidth="1"/>
    <col min="11269" max="11270" width="10.7109375" customWidth="1"/>
    <col min="11273" max="11273" width="10.7109375" customWidth="1"/>
    <col min="11276" max="11276" width="10.7109375" customWidth="1"/>
    <col min="11279" max="11279" width="10.7109375" customWidth="1"/>
    <col min="11282" max="11282" width="10.5703125" customWidth="1"/>
    <col min="11285" max="11285" width="10.42578125" customWidth="1"/>
    <col min="11288" max="11288" width="10.85546875" customWidth="1"/>
    <col min="11289" max="11289" width="11.28515625" bestFit="1" customWidth="1"/>
    <col min="11291" max="11291" width="11" customWidth="1"/>
    <col min="11521" max="11521" width="3.5703125" customWidth="1"/>
    <col min="11522" max="11522" width="31.85546875" customWidth="1"/>
    <col min="11523" max="11523" width="11.5703125" customWidth="1"/>
    <col min="11525" max="11526" width="10.7109375" customWidth="1"/>
    <col min="11529" max="11529" width="10.7109375" customWidth="1"/>
    <col min="11532" max="11532" width="10.7109375" customWidth="1"/>
    <col min="11535" max="11535" width="10.7109375" customWidth="1"/>
    <col min="11538" max="11538" width="10.5703125" customWidth="1"/>
    <col min="11541" max="11541" width="10.42578125" customWidth="1"/>
    <col min="11544" max="11544" width="10.85546875" customWidth="1"/>
    <col min="11545" max="11545" width="11.28515625" bestFit="1" customWidth="1"/>
    <col min="11547" max="11547" width="11" customWidth="1"/>
    <col min="11777" max="11777" width="3.5703125" customWidth="1"/>
    <col min="11778" max="11778" width="31.85546875" customWidth="1"/>
    <col min="11779" max="11779" width="11.5703125" customWidth="1"/>
    <col min="11781" max="11782" width="10.7109375" customWidth="1"/>
    <col min="11785" max="11785" width="10.7109375" customWidth="1"/>
    <col min="11788" max="11788" width="10.7109375" customWidth="1"/>
    <col min="11791" max="11791" width="10.7109375" customWidth="1"/>
    <col min="11794" max="11794" width="10.5703125" customWidth="1"/>
    <col min="11797" max="11797" width="10.42578125" customWidth="1"/>
    <col min="11800" max="11800" width="10.85546875" customWidth="1"/>
    <col min="11801" max="11801" width="11.28515625" bestFit="1" customWidth="1"/>
    <col min="11803" max="11803" width="11" customWidth="1"/>
    <col min="12033" max="12033" width="3.5703125" customWidth="1"/>
    <col min="12034" max="12034" width="31.85546875" customWidth="1"/>
    <col min="12035" max="12035" width="11.5703125" customWidth="1"/>
    <col min="12037" max="12038" width="10.7109375" customWidth="1"/>
    <col min="12041" max="12041" width="10.7109375" customWidth="1"/>
    <col min="12044" max="12044" width="10.7109375" customWidth="1"/>
    <col min="12047" max="12047" width="10.7109375" customWidth="1"/>
    <col min="12050" max="12050" width="10.5703125" customWidth="1"/>
    <col min="12053" max="12053" width="10.42578125" customWidth="1"/>
    <col min="12056" max="12056" width="10.85546875" customWidth="1"/>
    <col min="12057" max="12057" width="11.28515625" bestFit="1" customWidth="1"/>
    <col min="12059" max="12059" width="11" customWidth="1"/>
    <col min="12289" max="12289" width="3.5703125" customWidth="1"/>
    <col min="12290" max="12290" width="31.85546875" customWidth="1"/>
    <col min="12291" max="12291" width="11.5703125" customWidth="1"/>
    <col min="12293" max="12294" width="10.7109375" customWidth="1"/>
    <col min="12297" max="12297" width="10.7109375" customWidth="1"/>
    <col min="12300" max="12300" width="10.7109375" customWidth="1"/>
    <col min="12303" max="12303" width="10.7109375" customWidth="1"/>
    <col min="12306" max="12306" width="10.5703125" customWidth="1"/>
    <col min="12309" max="12309" width="10.42578125" customWidth="1"/>
    <col min="12312" max="12312" width="10.85546875" customWidth="1"/>
    <col min="12313" max="12313" width="11.28515625" bestFit="1" customWidth="1"/>
    <col min="12315" max="12315" width="11" customWidth="1"/>
    <col min="12545" max="12545" width="3.5703125" customWidth="1"/>
    <col min="12546" max="12546" width="31.85546875" customWidth="1"/>
    <col min="12547" max="12547" width="11.5703125" customWidth="1"/>
    <col min="12549" max="12550" width="10.7109375" customWidth="1"/>
    <col min="12553" max="12553" width="10.7109375" customWidth="1"/>
    <col min="12556" max="12556" width="10.7109375" customWidth="1"/>
    <col min="12559" max="12559" width="10.7109375" customWidth="1"/>
    <col min="12562" max="12562" width="10.5703125" customWidth="1"/>
    <col min="12565" max="12565" width="10.42578125" customWidth="1"/>
    <col min="12568" max="12568" width="10.85546875" customWidth="1"/>
    <col min="12569" max="12569" width="11.28515625" bestFit="1" customWidth="1"/>
    <col min="12571" max="12571" width="11" customWidth="1"/>
    <col min="12801" max="12801" width="3.5703125" customWidth="1"/>
    <col min="12802" max="12802" width="31.85546875" customWidth="1"/>
    <col min="12803" max="12803" width="11.5703125" customWidth="1"/>
    <col min="12805" max="12806" width="10.7109375" customWidth="1"/>
    <col min="12809" max="12809" width="10.7109375" customWidth="1"/>
    <col min="12812" max="12812" width="10.7109375" customWidth="1"/>
    <col min="12815" max="12815" width="10.7109375" customWidth="1"/>
    <col min="12818" max="12818" width="10.5703125" customWidth="1"/>
    <col min="12821" max="12821" width="10.42578125" customWidth="1"/>
    <col min="12824" max="12824" width="10.85546875" customWidth="1"/>
    <col min="12825" max="12825" width="11.28515625" bestFit="1" customWidth="1"/>
    <col min="12827" max="12827" width="11" customWidth="1"/>
    <col min="13057" max="13057" width="3.5703125" customWidth="1"/>
    <col min="13058" max="13058" width="31.85546875" customWidth="1"/>
    <col min="13059" max="13059" width="11.5703125" customWidth="1"/>
    <col min="13061" max="13062" width="10.7109375" customWidth="1"/>
    <col min="13065" max="13065" width="10.7109375" customWidth="1"/>
    <col min="13068" max="13068" width="10.7109375" customWidth="1"/>
    <col min="13071" max="13071" width="10.7109375" customWidth="1"/>
    <col min="13074" max="13074" width="10.5703125" customWidth="1"/>
    <col min="13077" max="13077" width="10.42578125" customWidth="1"/>
    <col min="13080" max="13080" width="10.85546875" customWidth="1"/>
    <col min="13081" max="13081" width="11.28515625" bestFit="1" customWidth="1"/>
    <col min="13083" max="13083" width="11" customWidth="1"/>
    <col min="13313" max="13313" width="3.5703125" customWidth="1"/>
    <col min="13314" max="13314" width="31.85546875" customWidth="1"/>
    <col min="13315" max="13315" width="11.5703125" customWidth="1"/>
    <col min="13317" max="13318" width="10.7109375" customWidth="1"/>
    <col min="13321" max="13321" width="10.7109375" customWidth="1"/>
    <col min="13324" max="13324" width="10.7109375" customWidth="1"/>
    <col min="13327" max="13327" width="10.7109375" customWidth="1"/>
    <col min="13330" max="13330" width="10.5703125" customWidth="1"/>
    <col min="13333" max="13333" width="10.42578125" customWidth="1"/>
    <col min="13336" max="13336" width="10.85546875" customWidth="1"/>
    <col min="13337" max="13337" width="11.28515625" bestFit="1" customWidth="1"/>
    <col min="13339" max="13339" width="11" customWidth="1"/>
    <col min="13569" max="13569" width="3.5703125" customWidth="1"/>
    <col min="13570" max="13570" width="31.85546875" customWidth="1"/>
    <col min="13571" max="13571" width="11.5703125" customWidth="1"/>
    <col min="13573" max="13574" width="10.7109375" customWidth="1"/>
    <col min="13577" max="13577" width="10.7109375" customWidth="1"/>
    <col min="13580" max="13580" width="10.7109375" customWidth="1"/>
    <col min="13583" max="13583" width="10.7109375" customWidth="1"/>
    <col min="13586" max="13586" width="10.5703125" customWidth="1"/>
    <col min="13589" max="13589" width="10.42578125" customWidth="1"/>
    <col min="13592" max="13592" width="10.85546875" customWidth="1"/>
    <col min="13593" max="13593" width="11.28515625" bestFit="1" customWidth="1"/>
    <col min="13595" max="13595" width="11" customWidth="1"/>
    <col min="13825" max="13825" width="3.5703125" customWidth="1"/>
    <col min="13826" max="13826" width="31.85546875" customWidth="1"/>
    <col min="13827" max="13827" width="11.5703125" customWidth="1"/>
    <col min="13829" max="13830" width="10.7109375" customWidth="1"/>
    <col min="13833" max="13833" width="10.7109375" customWidth="1"/>
    <col min="13836" max="13836" width="10.7109375" customWidth="1"/>
    <col min="13839" max="13839" width="10.7109375" customWidth="1"/>
    <col min="13842" max="13842" width="10.5703125" customWidth="1"/>
    <col min="13845" max="13845" width="10.42578125" customWidth="1"/>
    <col min="13848" max="13848" width="10.85546875" customWidth="1"/>
    <col min="13849" max="13849" width="11.28515625" bestFit="1" customWidth="1"/>
    <col min="13851" max="13851" width="11" customWidth="1"/>
    <col min="14081" max="14081" width="3.5703125" customWidth="1"/>
    <col min="14082" max="14082" width="31.85546875" customWidth="1"/>
    <col min="14083" max="14083" width="11.5703125" customWidth="1"/>
    <col min="14085" max="14086" width="10.7109375" customWidth="1"/>
    <col min="14089" max="14089" width="10.7109375" customWidth="1"/>
    <col min="14092" max="14092" width="10.7109375" customWidth="1"/>
    <col min="14095" max="14095" width="10.7109375" customWidth="1"/>
    <col min="14098" max="14098" width="10.5703125" customWidth="1"/>
    <col min="14101" max="14101" width="10.42578125" customWidth="1"/>
    <col min="14104" max="14104" width="10.85546875" customWidth="1"/>
    <col min="14105" max="14105" width="11.28515625" bestFit="1" customWidth="1"/>
    <col min="14107" max="14107" width="11" customWidth="1"/>
    <col min="14337" max="14337" width="3.5703125" customWidth="1"/>
    <col min="14338" max="14338" width="31.85546875" customWidth="1"/>
    <col min="14339" max="14339" width="11.5703125" customWidth="1"/>
    <col min="14341" max="14342" width="10.7109375" customWidth="1"/>
    <col min="14345" max="14345" width="10.7109375" customWidth="1"/>
    <col min="14348" max="14348" width="10.7109375" customWidth="1"/>
    <col min="14351" max="14351" width="10.7109375" customWidth="1"/>
    <col min="14354" max="14354" width="10.5703125" customWidth="1"/>
    <col min="14357" max="14357" width="10.42578125" customWidth="1"/>
    <col min="14360" max="14360" width="10.85546875" customWidth="1"/>
    <col min="14361" max="14361" width="11.28515625" bestFit="1" customWidth="1"/>
    <col min="14363" max="14363" width="11" customWidth="1"/>
    <col min="14593" max="14593" width="3.5703125" customWidth="1"/>
    <col min="14594" max="14594" width="31.85546875" customWidth="1"/>
    <col min="14595" max="14595" width="11.5703125" customWidth="1"/>
    <col min="14597" max="14598" width="10.7109375" customWidth="1"/>
    <col min="14601" max="14601" width="10.7109375" customWidth="1"/>
    <col min="14604" max="14604" width="10.7109375" customWidth="1"/>
    <col min="14607" max="14607" width="10.7109375" customWidth="1"/>
    <col min="14610" max="14610" width="10.5703125" customWidth="1"/>
    <col min="14613" max="14613" width="10.42578125" customWidth="1"/>
    <col min="14616" max="14616" width="10.85546875" customWidth="1"/>
    <col min="14617" max="14617" width="11.28515625" bestFit="1" customWidth="1"/>
    <col min="14619" max="14619" width="11" customWidth="1"/>
    <col min="14849" max="14849" width="3.5703125" customWidth="1"/>
    <col min="14850" max="14850" width="31.85546875" customWidth="1"/>
    <col min="14851" max="14851" width="11.5703125" customWidth="1"/>
    <col min="14853" max="14854" width="10.7109375" customWidth="1"/>
    <col min="14857" max="14857" width="10.7109375" customWidth="1"/>
    <col min="14860" max="14860" width="10.7109375" customWidth="1"/>
    <col min="14863" max="14863" width="10.7109375" customWidth="1"/>
    <col min="14866" max="14866" width="10.5703125" customWidth="1"/>
    <col min="14869" max="14869" width="10.42578125" customWidth="1"/>
    <col min="14872" max="14872" width="10.85546875" customWidth="1"/>
    <col min="14873" max="14873" width="11.28515625" bestFit="1" customWidth="1"/>
    <col min="14875" max="14875" width="11" customWidth="1"/>
    <col min="15105" max="15105" width="3.5703125" customWidth="1"/>
    <col min="15106" max="15106" width="31.85546875" customWidth="1"/>
    <col min="15107" max="15107" width="11.5703125" customWidth="1"/>
    <col min="15109" max="15110" width="10.7109375" customWidth="1"/>
    <col min="15113" max="15113" width="10.7109375" customWidth="1"/>
    <col min="15116" max="15116" width="10.7109375" customWidth="1"/>
    <col min="15119" max="15119" width="10.7109375" customWidth="1"/>
    <col min="15122" max="15122" width="10.5703125" customWidth="1"/>
    <col min="15125" max="15125" width="10.42578125" customWidth="1"/>
    <col min="15128" max="15128" width="10.85546875" customWidth="1"/>
    <col min="15129" max="15129" width="11.28515625" bestFit="1" customWidth="1"/>
    <col min="15131" max="15131" width="11" customWidth="1"/>
    <col min="15361" max="15361" width="3.5703125" customWidth="1"/>
    <col min="15362" max="15362" width="31.85546875" customWidth="1"/>
    <col min="15363" max="15363" width="11.5703125" customWidth="1"/>
    <col min="15365" max="15366" width="10.7109375" customWidth="1"/>
    <col min="15369" max="15369" width="10.7109375" customWidth="1"/>
    <col min="15372" max="15372" width="10.7109375" customWidth="1"/>
    <col min="15375" max="15375" width="10.7109375" customWidth="1"/>
    <col min="15378" max="15378" width="10.5703125" customWidth="1"/>
    <col min="15381" max="15381" width="10.42578125" customWidth="1"/>
    <col min="15384" max="15384" width="10.85546875" customWidth="1"/>
    <col min="15385" max="15385" width="11.28515625" bestFit="1" customWidth="1"/>
    <col min="15387" max="15387" width="11" customWidth="1"/>
    <col min="15617" max="15617" width="3.5703125" customWidth="1"/>
    <col min="15618" max="15618" width="31.85546875" customWidth="1"/>
    <col min="15619" max="15619" width="11.5703125" customWidth="1"/>
    <col min="15621" max="15622" width="10.7109375" customWidth="1"/>
    <col min="15625" max="15625" width="10.7109375" customWidth="1"/>
    <col min="15628" max="15628" width="10.7109375" customWidth="1"/>
    <col min="15631" max="15631" width="10.7109375" customWidth="1"/>
    <col min="15634" max="15634" width="10.5703125" customWidth="1"/>
    <col min="15637" max="15637" width="10.42578125" customWidth="1"/>
    <col min="15640" max="15640" width="10.85546875" customWidth="1"/>
    <col min="15641" max="15641" width="11.28515625" bestFit="1" customWidth="1"/>
    <col min="15643" max="15643" width="11" customWidth="1"/>
    <col min="15873" max="15873" width="3.5703125" customWidth="1"/>
    <col min="15874" max="15874" width="31.85546875" customWidth="1"/>
    <col min="15875" max="15875" width="11.5703125" customWidth="1"/>
    <col min="15877" max="15878" width="10.7109375" customWidth="1"/>
    <col min="15881" max="15881" width="10.7109375" customWidth="1"/>
    <col min="15884" max="15884" width="10.7109375" customWidth="1"/>
    <col min="15887" max="15887" width="10.7109375" customWidth="1"/>
    <col min="15890" max="15890" width="10.5703125" customWidth="1"/>
    <col min="15893" max="15893" width="10.42578125" customWidth="1"/>
    <col min="15896" max="15896" width="10.85546875" customWidth="1"/>
    <col min="15897" max="15897" width="11.28515625" bestFit="1" customWidth="1"/>
    <col min="15899" max="15899" width="11" customWidth="1"/>
    <col min="16129" max="16129" width="3.5703125" customWidth="1"/>
    <col min="16130" max="16130" width="31.85546875" customWidth="1"/>
    <col min="16131" max="16131" width="11.5703125" customWidth="1"/>
    <col min="16133" max="16134" width="10.7109375" customWidth="1"/>
    <col min="16137" max="16137" width="10.7109375" customWidth="1"/>
    <col min="16140" max="16140" width="10.7109375" customWidth="1"/>
    <col min="16143" max="16143" width="10.7109375" customWidth="1"/>
    <col min="16146" max="16146" width="10.5703125" customWidth="1"/>
    <col min="16149" max="16149" width="10.42578125" customWidth="1"/>
    <col min="16152" max="16152" width="10.85546875" customWidth="1"/>
    <col min="16153" max="16153" width="11.28515625" bestFit="1" customWidth="1"/>
    <col min="16155" max="16155" width="11" customWidth="1"/>
  </cols>
  <sheetData>
    <row r="1" spans="1:29">
      <c r="A1" s="394" t="s">
        <v>328</v>
      </c>
      <c r="B1" s="394"/>
      <c r="C1" s="394"/>
      <c r="D1" s="394"/>
      <c r="E1" s="394"/>
      <c r="F1" s="394"/>
      <c r="G1" s="394"/>
      <c r="H1" s="394"/>
    </row>
    <row r="2" spans="1:29">
      <c r="A2" s="394" t="s">
        <v>158</v>
      </c>
      <c r="B2" s="394"/>
      <c r="C2" s="394"/>
      <c r="D2" s="394"/>
      <c r="E2" s="394"/>
      <c r="F2" s="394"/>
      <c r="G2" s="394"/>
      <c r="H2" s="394"/>
    </row>
    <row r="3" spans="1:29">
      <c r="A3" s="16"/>
    </row>
    <row r="4" spans="1:29">
      <c r="A4" s="16"/>
    </row>
    <row r="5" spans="1:29">
      <c r="C5" s="29" t="s">
        <v>159</v>
      </c>
      <c r="D5" s="29" t="s">
        <v>160</v>
      </c>
      <c r="E5" s="29" t="s">
        <v>161</v>
      </c>
      <c r="F5" s="29" t="s">
        <v>162</v>
      </c>
      <c r="G5" s="29" t="s">
        <v>163</v>
      </c>
      <c r="H5" s="29" t="s">
        <v>164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9">
      <c r="C6" s="72" t="s">
        <v>329</v>
      </c>
      <c r="F6" s="72" t="s">
        <v>616</v>
      </c>
      <c r="I6" s="72"/>
      <c r="L6" s="72"/>
      <c r="O6" s="72"/>
      <c r="R6" s="72"/>
      <c r="U6" s="72"/>
      <c r="X6" s="72"/>
      <c r="AA6" s="72"/>
    </row>
    <row r="7" spans="1:29">
      <c r="C7" s="72" t="s">
        <v>330</v>
      </c>
      <c r="E7" s="72" t="s">
        <v>331</v>
      </c>
      <c r="F7" s="72" t="s">
        <v>330</v>
      </c>
      <c r="H7" s="72" t="s">
        <v>331</v>
      </c>
      <c r="I7" s="72"/>
      <c r="K7" s="72"/>
      <c r="L7" s="72"/>
      <c r="N7" s="72"/>
      <c r="O7" s="72"/>
      <c r="Q7" s="72"/>
      <c r="R7" s="72"/>
      <c r="T7" s="72"/>
      <c r="U7" s="72"/>
      <c r="W7" s="72"/>
      <c r="X7" s="72"/>
      <c r="Z7" s="72"/>
      <c r="AA7" s="72"/>
      <c r="AC7" s="72"/>
    </row>
    <row r="8" spans="1:29">
      <c r="C8" s="72">
        <f>+'Corps Rec Project O&amp;M'!N5</f>
        <v>2022</v>
      </c>
      <c r="D8" s="72" t="s">
        <v>300</v>
      </c>
      <c r="E8" s="72">
        <f>+C8</f>
        <v>2022</v>
      </c>
      <c r="F8" s="72">
        <f>+E8+1</f>
        <v>2023</v>
      </c>
      <c r="G8" s="72" t="s">
        <v>300</v>
      </c>
      <c r="H8" s="72">
        <f>+F8</f>
        <v>2023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>
      <c r="A9">
        <v>1</v>
      </c>
      <c r="B9" s="34" t="s">
        <v>332</v>
      </c>
    </row>
    <row r="10" spans="1:29">
      <c r="A10">
        <f t="shared" ref="A10:A26" si="0">A9+1</f>
        <v>2</v>
      </c>
      <c r="B10" t="s">
        <v>333</v>
      </c>
      <c r="C10" s="27"/>
      <c r="D10" s="7">
        <v>1</v>
      </c>
      <c r="E10" s="27">
        <f>+'Corps Rec Project O&amp;M'!N6</f>
        <v>5576</v>
      </c>
      <c r="F10" s="27"/>
      <c r="G10" s="7">
        <v>1</v>
      </c>
      <c r="H10" s="27">
        <f>+'Corps Rec Project O&amp;M'!O6</f>
        <v>5602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7"/>
      <c r="AC10" s="27"/>
    </row>
    <row r="11" spans="1:29">
      <c r="A11">
        <f t="shared" si="0"/>
        <v>3</v>
      </c>
      <c r="B11" s="34" t="s">
        <v>334</v>
      </c>
    </row>
    <row r="12" spans="1:29">
      <c r="A12">
        <f t="shared" si="0"/>
        <v>4</v>
      </c>
      <c r="B12" t="s">
        <v>333</v>
      </c>
      <c r="C12" s="27">
        <f>+[3]USBR!$AO8</f>
        <v>1672319.0203872621</v>
      </c>
      <c r="D12" s="33">
        <f>D14-D13</f>
        <v>0.94378176678484405</v>
      </c>
      <c r="E12" s="27">
        <f>E14-E13</f>
        <v>115325</v>
      </c>
      <c r="F12" s="27">
        <f>+[3]USBR!$AS$8</f>
        <v>1707362.7724590735</v>
      </c>
      <c r="G12" s="33">
        <f>G14-G13</f>
        <v>0.9448720390929678</v>
      </c>
      <c r="H12" s="27">
        <f>H14-H13</f>
        <v>144530.00003000002</v>
      </c>
      <c r="I12" s="27"/>
      <c r="J12" s="27"/>
      <c r="K12" s="27"/>
      <c r="L12" s="27"/>
      <c r="M12" s="33"/>
      <c r="N12" s="27"/>
      <c r="O12" s="27"/>
      <c r="P12" s="33"/>
      <c r="Q12" s="27"/>
      <c r="R12" s="27"/>
      <c r="S12" s="33"/>
      <c r="T12" s="27"/>
      <c r="U12" s="27"/>
      <c r="V12" s="33"/>
      <c r="W12" s="27"/>
      <c r="X12" s="27"/>
      <c r="Y12" s="27"/>
      <c r="Z12" s="27"/>
      <c r="AA12" s="27"/>
      <c r="AB12" s="33"/>
      <c r="AC12" s="27"/>
    </row>
    <row r="13" spans="1:29">
      <c r="A13">
        <f t="shared" si="0"/>
        <v>5</v>
      </c>
      <c r="B13" t="s">
        <v>335</v>
      </c>
      <c r="C13" s="27">
        <f>+[3]USBR!$AO9</f>
        <v>99615</v>
      </c>
      <c r="D13" s="33">
        <f>C13/C14</f>
        <v>5.6218233215155948E-2</v>
      </c>
      <c r="E13" s="96">
        <f>ROUND(D13*E14,0)</f>
        <v>6870</v>
      </c>
      <c r="F13" s="27">
        <f>+[3]USBR!$AS$9</f>
        <v>99615</v>
      </c>
      <c r="G13" s="33">
        <f>F13/F14</f>
        <v>5.5127960907032238E-2</v>
      </c>
      <c r="H13" s="27">
        <f>ROUND(G13*H14,0)</f>
        <v>8433</v>
      </c>
      <c r="I13" s="27"/>
      <c r="J13" s="27"/>
      <c r="K13" s="27"/>
      <c r="L13" s="27"/>
      <c r="M13" s="33"/>
      <c r="N13" s="27"/>
      <c r="O13" s="27"/>
      <c r="P13" s="33"/>
      <c r="Q13" s="27"/>
      <c r="R13" s="27"/>
      <c r="S13" s="33"/>
      <c r="T13" s="27"/>
      <c r="U13" s="27"/>
      <c r="V13" s="33"/>
      <c r="W13" s="27"/>
      <c r="X13" s="27"/>
      <c r="Y13" s="17"/>
      <c r="Z13" s="27"/>
      <c r="AA13" s="27"/>
      <c r="AB13" s="33"/>
      <c r="AC13" s="27"/>
    </row>
    <row r="14" spans="1:29">
      <c r="A14">
        <f t="shared" si="0"/>
        <v>6</v>
      </c>
      <c r="B14" t="s">
        <v>287</v>
      </c>
      <c r="C14" s="10">
        <f>SUM(C12:C13)</f>
        <v>1771934.0203872621</v>
      </c>
      <c r="D14" s="7">
        <v>1</v>
      </c>
      <c r="E14" s="27">
        <f>+'Corps Rec Project O&amp;M'!N7</f>
        <v>122195</v>
      </c>
      <c r="F14" s="10">
        <f>SUM(F12:F13)</f>
        <v>1806977.7724590735</v>
      </c>
      <c r="G14" s="7">
        <v>1</v>
      </c>
      <c r="H14" s="27">
        <f>+'Corps Rec Project O&amp;M'!O12</f>
        <v>152963.00003000002</v>
      </c>
      <c r="I14" s="27"/>
      <c r="J14" s="27"/>
      <c r="K14" s="27"/>
      <c r="L14" s="27"/>
      <c r="M14" s="7"/>
      <c r="N14" s="27"/>
      <c r="O14" s="10"/>
      <c r="P14" s="7"/>
      <c r="Q14" s="27"/>
      <c r="R14" s="10"/>
      <c r="S14" s="7"/>
      <c r="T14" s="27"/>
      <c r="U14" s="10"/>
      <c r="V14" s="7"/>
      <c r="W14" s="27"/>
      <c r="X14" s="10"/>
      <c r="Y14" s="10"/>
      <c r="Z14" s="27"/>
      <c r="AA14" s="10"/>
      <c r="AB14" s="7"/>
      <c r="AC14" s="27"/>
    </row>
    <row r="15" spans="1:29">
      <c r="A15">
        <f t="shared" si="0"/>
        <v>7</v>
      </c>
      <c r="B15" s="16" t="s">
        <v>336</v>
      </c>
      <c r="C15" s="10"/>
      <c r="D15" s="7"/>
      <c r="E15" s="27"/>
      <c r="F15" s="10"/>
      <c r="G15" s="7"/>
      <c r="H15" s="27"/>
      <c r="I15" s="10"/>
      <c r="J15" s="7"/>
      <c r="K15" s="7"/>
      <c r="L15" s="7"/>
      <c r="M15" s="7"/>
      <c r="N15" s="27"/>
      <c r="O15" s="10"/>
      <c r="P15" s="7"/>
      <c r="Q15" s="27"/>
      <c r="R15" s="10"/>
      <c r="S15" s="7"/>
      <c r="T15" s="27"/>
      <c r="U15" s="10"/>
      <c r="V15" s="7"/>
      <c r="W15" s="27"/>
      <c r="X15" s="10"/>
      <c r="Y15" s="10"/>
      <c r="Z15" s="27"/>
      <c r="AA15" s="10"/>
      <c r="AB15" s="7"/>
      <c r="AC15" s="27"/>
    </row>
    <row r="16" spans="1:29">
      <c r="A16">
        <f t="shared" si="0"/>
        <v>8</v>
      </c>
      <c r="B16" t="s">
        <v>333</v>
      </c>
      <c r="C16" s="10"/>
      <c r="D16" s="7">
        <v>1</v>
      </c>
      <c r="E16" s="27">
        <f>+'Corps Rec Project O&amp;M'!N8</f>
        <v>1102</v>
      </c>
      <c r="F16" s="10"/>
      <c r="G16" s="7">
        <v>1</v>
      </c>
      <c r="H16" s="27">
        <f>+'Corps Rec Project O&amp;M'!O8</f>
        <v>1107</v>
      </c>
      <c r="I16" s="27"/>
      <c r="J16" s="27"/>
      <c r="K16" s="27"/>
      <c r="L16" s="27"/>
      <c r="M16" s="7"/>
      <c r="N16" s="27"/>
      <c r="O16" s="10"/>
      <c r="P16" s="7"/>
      <c r="Q16" s="27"/>
      <c r="R16" s="10"/>
      <c r="S16" s="7"/>
      <c r="T16" s="27"/>
      <c r="U16" s="10"/>
      <c r="V16" s="7"/>
      <c r="W16" s="27"/>
      <c r="X16" s="10"/>
      <c r="Y16" s="10"/>
      <c r="Z16" s="27"/>
      <c r="AA16" s="10"/>
      <c r="AB16" s="7"/>
      <c r="AC16" s="27"/>
    </row>
    <row r="17" spans="1:29">
      <c r="A17">
        <f t="shared" si="0"/>
        <v>9</v>
      </c>
      <c r="B17" s="34" t="s">
        <v>337</v>
      </c>
    </row>
    <row r="18" spans="1:29">
      <c r="A18">
        <f t="shared" si="0"/>
        <v>10</v>
      </c>
      <c r="B18" t="s">
        <v>333</v>
      </c>
      <c r="C18" s="27">
        <f>+[3]USBR!$AO$14</f>
        <v>170179.9020907965</v>
      </c>
      <c r="D18" s="33">
        <f>D20-D19</f>
        <v>0.98552234527741689</v>
      </c>
      <c r="E18" s="27">
        <f>E20-E19</f>
        <v>6925</v>
      </c>
      <c r="F18" s="27">
        <f>+[3]USBR!$AS$14</f>
        <v>178106.69320680012</v>
      </c>
      <c r="G18" s="33">
        <f>G20-G19</f>
        <v>0.9861577666053748</v>
      </c>
      <c r="H18" s="27">
        <f>H20-H19</f>
        <v>6961</v>
      </c>
      <c r="I18" s="27"/>
      <c r="J18" s="27"/>
      <c r="K18" s="27"/>
      <c r="L18" s="27"/>
      <c r="M18" s="33"/>
      <c r="N18" s="27"/>
      <c r="O18" s="27"/>
      <c r="P18" s="33"/>
      <c r="Q18" s="27"/>
      <c r="R18" s="27"/>
      <c r="S18" s="33"/>
      <c r="T18" s="27"/>
      <c r="U18" s="27"/>
      <c r="V18" s="33"/>
      <c r="W18" s="27"/>
      <c r="X18" s="27"/>
      <c r="Y18" s="27"/>
      <c r="Z18" s="27"/>
      <c r="AA18" s="27"/>
      <c r="AB18" s="33"/>
      <c r="AC18" s="27"/>
    </row>
    <row r="19" spans="1:29">
      <c r="A19">
        <f t="shared" si="0"/>
        <v>11</v>
      </c>
      <c r="B19" t="s">
        <v>335</v>
      </c>
      <c r="C19" s="27">
        <f>+[3]USBR!$AO$15</f>
        <v>2500</v>
      </c>
      <c r="D19" s="33">
        <f>C19/C20</f>
        <v>1.4477654722583057E-2</v>
      </c>
      <c r="E19" s="96">
        <f>ROUND(D19*E20,0)</f>
        <v>102</v>
      </c>
      <c r="F19" s="27">
        <f>+[3]USBR!$AS$15</f>
        <v>2500</v>
      </c>
      <c r="G19" s="33">
        <f>F19/F20</f>
        <v>1.3842233394625217E-2</v>
      </c>
      <c r="H19" s="27">
        <f>ROUND(G19*H20,0)</f>
        <v>98</v>
      </c>
      <c r="I19" s="27"/>
      <c r="J19" s="27"/>
      <c r="K19" s="27"/>
      <c r="L19" s="27"/>
      <c r="M19" s="33"/>
      <c r="N19" s="27"/>
      <c r="O19" s="27"/>
      <c r="P19" s="33"/>
      <c r="Q19" s="27"/>
      <c r="R19" s="27"/>
      <c r="S19" s="33"/>
      <c r="T19" s="27"/>
      <c r="U19" s="27"/>
      <c r="V19" s="33"/>
      <c r="W19" s="27"/>
      <c r="X19" s="27"/>
      <c r="Y19" s="17"/>
      <c r="Z19" s="27"/>
      <c r="AA19" s="27"/>
      <c r="AB19" s="33"/>
      <c r="AC19" s="27"/>
    </row>
    <row r="20" spans="1:29">
      <c r="A20">
        <f t="shared" si="0"/>
        <v>12</v>
      </c>
      <c r="B20" t="s">
        <v>287</v>
      </c>
      <c r="C20" s="27">
        <f>SUM(C18:C19)</f>
        <v>172679.9020907965</v>
      </c>
      <c r="D20" s="7">
        <v>1</v>
      </c>
      <c r="E20" s="27">
        <f>+'Corps Rec Project O&amp;M'!N9</f>
        <v>7027</v>
      </c>
      <c r="F20" s="10">
        <f>SUM(F18:F19)</f>
        <v>180606.69320680012</v>
      </c>
      <c r="G20" s="7">
        <v>1</v>
      </c>
      <c r="H20" s="27">
        <f>+'Corps Rec Project O&amp;M'!O9</f>
        <v>7059</v>
      </c>
      <c r="I20" s="27"/>
      <c r="J20" s="27"/>
      <c r="K20" s="27"/>
      <c r="L20" s="27"/>
      <c r="M20" s="7"/>
      <c r="N20" s="27"/>
      <c r="O20" s="27"/>
      <c r="P20" s="7"/>
      <c r="Q20" s="27"/>
      <c r="R20" s="27"/>
      <c r="S20" s="7"/>
      <c r="T20" s="27"/>
      <c r="U20" s="27"/>
      <c r="V20" s="7"/>
      <c r="W20" s="27"/>
      <c r="X20" s="27"/>
      <c r="Y20" s="27"/>
      <c r="Z20" s="27"/>
      <c r="AA20" s="27"/>
      <c r="AB20" s="7"/>
      <c r="AC20" s="27"/>
    </row>
    <row r="21" spans="1:29">
      <c r="A21">
        <f t="shared" si="0"/>
        <v>13</v>
      </c>
      <c r="B21" s="34" t="s">
        <v>338</v>
      </c>
    </row>
    <row r="22" spans="1:29">
      <c r="A22">
        <f t="shared" si="0"/>
        <v>14</v>
      </c>
      <c r="B22" t="s">
        <v>333</v>
      </c>
      <c r="C22" s="27">
        <f>+[3]USBR!$AO$18</f>
        <v>181571.24629138343</v>
      </c>
      <c r="D22" s="33">
        <f>D24-D23</f>
        <v>0.98329860612173736</v>
      </c>
      <c r="E22" s="27">
        <f>E24-E23</f>
        <v>13147</v>
      </c>
      <c r="F22" s="27">
        <f>+[3]USBR!$AS$18</f>
        <v>181544.59869138343</v>
      </c>
      <c r="G22" s="33">
        <f>G24-G23</f>
        <v>0.98329619559559633</v>
      </c>
      <c r="H22" s="27">
        <f>H24-H23</f>
        <v>13207</v>
      </c>
      <c r="I22" s="27"/>
      <c r="J22" s="27"/>
      <c r="K22" s="27"/>
      <c r="L22" s="27"/>
      <c r="M22" s="33"/>
      <c r="N22" s="27"/>
      <c r="O22" s="27"/>
      <c r="P22" s="33"/>
      <c r="Q22" s="27"/>
      <c r="R22" s="27"/>
      <c r="S22" s="33"/>
      <c r="T22" s="27"/>
      <c r="U22" s="27"/>
      <c r="V22" s="33"/>
      <c r="W22" s="27"/>
      <c r="X22" s="27"/>
      <c r="Y22" s="27"/>
      <c r="Z22" s="27"/>
      <c r="AA22" s="27"/>
      <c r="AB22" s="33"/>
      <c r="AC22" s="27"/>
    </row>
    <row r="23" spans="1:29">
      <c r="A23">
        <f t="shared" si="0"/>
        <v>15</v>
      </c>
      <c r="B23" t="s">
        <v>335</v>
      </c>
      <c r="C23" s="27">
        <f>+[3]USBR!$AO$19</f>
        <v>3084</v>
      </c>
      <c r="D23" s="33">
        <f>C23/C24</f>
        <v>1.6701393878262687E-2</v>
      </c>
      <c r="E23" s="96">
        <f>ROUND(D23*E$24,0)</f>
        <v>223</v>
      </c>
      <c r="F23" s="27">
        <f>+[3]USBR!$AS$19</f>
        <v>3084</v>
      </c>
      <c r="G23" s="33">
        <f>F23/F24</f>
        <v>1.6703804404403624E-2</v>
      </c>
      <c r="H23" s="27">
        <f>ROUND(G23*H$24,0)</f>
        <v>224</v>
      </c>
      <c r="I23" s="27"/>
      <c r="J23" s="27"/>
      <c r="K23" s="27"/>
      <c r="L23" s="27"/>
      <c r="M23" s="33"/>
      <c r="N23" s="27"/>
      <c r="O23" s="27"/>
      <c r="P23" s="33"/>
      <c r="Q23" s="27"/>
      <c r="R23" s="27"/>
      <c r="S23" s="33"/>
      <c r="T23" s="27"/>
      <c r="U23" s="27"/>
      <c r="V23" s="33"/>
      <c r="W23" s="27"/>
      <c r="X23" s="27"/>
      <c r="Y23" s="17"/>
      <c r="Z23" s="27"/>
      <c r="AA23" s="27"/>
      <c r="AB23" s="33"/>
      <c r="AC23" s="27"/>
    </row>
    <row r="24" spans="1:29">
      <c r="A24">
        <f t="shared" si="0"/>
        <v>16</v>
      </c>
      <c r="B24" t="s">
        <v>287</v>
      </c>
      <c r="C24" s="10">
        <f>SUM(C22:C23)</f>
        <v>184655.24629138343</v>
      </c>
      <c r="D24" s="7">
        <v>1</v>
      </c>
      <c r="E24" s="27">
        <f>+'Corps Rec Project O&amp;M'!N10</f>
        <v>13370</v>
      </c>
      <c r="F24" s="10">
        <f>SUM(F22:F23)</f>
        <v>184628.59869138343</v>
      </c>
      <c r="G24" s="7">
        <v>1</v>
      </c>
      <c r="H24" s="27">
        <f>+'Corps Rec Project O&amp;M'!O10</f>
        <v>13431</v>
      </c>
      <c r="I24" s="27"/>
      <c r="J24" s="27"/>
      <c r="K24" s="27"/>
      <c r="L24" s="27"/>
      <c r="M24" s="7"/>
      <c r="N24" s="27"/>
      <c r="O24" s="10"/>
      <c r="P24" s="7"/>
      <c r="Q24" s="27"/>
      <c r="R24" s="10"/>
      <c r="S24" s="7"/>
      <c r="T24" s="27"/>
      <c r="U24" s="10"/>
      <c r="V24" s="7"/>
      <c r="W24" s="27"/>
      <c r="X24" s="10"/>
      <c r="Y24" s="10"/>
      <c r="Z24" s="27"/>
      <c r="AA24" s="10"/>
      <c r="AB24" s="7"/>
      <c r="AC24" s="27"/>
    </row>
    <row r="25" spans="1:29">
      <c r="A25">
        <f t="shared" si="0"/>
        <v>17</v>
      </c>
      <c r="B25" s="34" t="s">
        <v>339</v>
      </c>
    </row>
    <row r="26" spans="1:29">
      <c r="A26">
        <f t="shared" si="0"/>
        <v>18</v>
      </c>
      <c r="B26" t="s">
        <v>333</v>
      </c>
      <c r="C26" s="27"/>
      <c r="D26" s="7">
        <v>1</v>
      </c>
      <c r="E26" s="27">
        <f>+'Corps Rec Project O&amp;M'!N11</f>
        <v>2999</v>
      </c>
      <c r="F26" s="27"/>
      <c r="G26" s="7">
        <v>1</v>
      </c>
      <c r="H26" s="27">
        <f>+'Corps Rec Project O&amp;M'!O11</f>
        <v>3013</v>
      </c>
      <c r="I26" s="27"/>
      <c r="J26" s="27"/>
      <c r="K26" s="27"/>
      <c r="L26" s="27"/>
      <c r="M26" s="7"/>
      <c r="N26" s="27"/>
      <c r="O26" s="27"/>
      <c r="P26" s="7"/>
      <c r="Q26" s="27"/>
      <c r="R26" s="27"/>
      <c r="S26" s="7"/>
      <c r="T26" s="27"/>
      <c r="U26" s="27"/>
      <c r="V26" s="7"/>
      <c r="W26" s="27"/>
      <c r="X26" s="27"/>
      <c r="Y26" s="27"/>
      <c r="Z26" s="27"/>
      <c r="AA26" s="27"/>
      <c r="AB26" s="7"/>
      <c r="AC26" s="27"/>
    </row>
    <row r="28" spans="1:29">
      <c r="A28">
        <f>A26+1</f>
        <v>19</v>
      </c>
      <c r="B28" t="s">
        <v>340</v>
      </c>
      <c r="E28" s="10">
        <f>E10+E12+E16+E18+E22+E26+E33</f>
        <v>145074</v>
      </c>
      <c r="H28" s="10">
        <f>H10+H12+H16+H18+H22+H26+H33</f>
        <v>174420.00003000002</v>
      </c>
      <c r="I28" s="10"/>
      <c r="J28" s="10"/>
      <c r="K28" s="10"/>
      <c r="L28" s="10"/>
      <c r="N28" s="10"/>
      <c r="Q28" s="10"/>
      <c r="T28" s="10"/>
      <c r="W28" s="10"/>
      <c r="X28" s="10"/>
      <c r="Y28" s="10"/>
      <c r="Z28" s="10"/>
      <c r="AC28" s="10"/>
    </row>
    <row r="29" spans="1:29">
      <c r="A29">
        <f>A28+1</f>
        <v>20</v>
      </c>
      <c r="B29" t="s">
        <v>335</v>
      </c>
      <c r="E29" s="10">
        <f>E23+E19+E13</f>
        <v>7195</v>
      </c>
      <c r="H29" s="10">
        <f>H23+H19+H13</f>
        <v>8755</v>
      </c>
      <c r="I29" s="10"/>
      <c r="J29" s="10"/>
      <c r="K29" s="10"/>
      <c r="L29" s="10"/>
      <c r="N29" s="10"/>
      <c r="Q29" s="10"/>
      <c r="T29" s="10"/>
      <c r="W29" s="10"/>
      <c r="X29" s="10"/>
      <c r="Y29" s="10"/>
      <c r="Z29" s="10"/>
      <c r="AC29" s="10"/>
    </row>
    <row r="30" spans="1:29">
      <c r="A30">
        <f>A29+1</f>
        <v>21</v>
      </c>
      <c r="B30" t="s">
        <v>341</v>
      </c>
      <c r="E30" s="10">
        <f>E28+E29</f>
        <v>152269</v>
      </c>
      <c r="H30" s="10">
        <f>H28+H29</f>
        <v>183175.00003000002</v>
      </c>
      <c r="I30" s="10"/>
      <c r="J30" s="10"/>
      <c r="K30" s="10"/>
      <c r="L30" s="10"/>
      <c r="N30" s="10"/>
      <c r="Q30" s="10"/>
      <c r="T30" s="10"/>
      <c r="W30" s="10"/>
      <c r="X30" s="10"/>
      <c r="Y30" s="10"/>
      <c r="Z30" s="10"/>
      <c r="AC30" s="10"/>
    </row>
    <row r="31" spans="1:29">
      <c r="X31" s="17"/>
      <c r="Y31" s="17"/>
    </row>
    <row r="32" spans="1:29">
      <c r="X32" s="17"/>
      <c r="Y32" s="17"/>
    </row>
    <row r="33" spans="1:29">
      <c r="A33" s="9" t="s">
        <v>232</v>
      </c>
      <c r="B33" t="s">
        <v>342</v>
      </c>
      <c r="E33" s="27">
        <f>+'Corps Rec Project O&amp;M'!N43</f>
        <v>0</v>
      </c>
      <c r="H33" s="27">
        <f>+'Corps Rec Project O&amp;M'!O43</f>
        <v>0</v>
      </c>
      <c r="I33" s="27"/>
      <c r="J33" s="27"/>
      <c r="K33" s="27"/>
      <c r="L33" s="27"/>
      <c r="N33" s="27"/>
      <c r="Q33" s="27"/>
      <c r="T33" s="27"/>
      <c r="W33" s="27"/>
      <c r="X33" s="17"/>
      <c r="Y33" s="17"/>
      <c r="Z33" s="27"/>
      <c r="AC33" s="27"/>
    </row>
    <row r="37" spans="1:29">
      <c r="A37">
        <f>A30+1</f>
        <v>22</v>
      </c>
      <c r="B37" s="34" t="s">
        <v>343</v>
      </c>
    </row>
    <row r="38" spans="1:29">
      <c r="A38">
        <f t="shared" ref="A38:A43" si="1">A37+1</f>
        <v>23</v>
      </c>
      <c r="B38" s="32" t="s">
        <v>333</v>
      </c>
      <c r="C38" s="32">
        <v>1190585</v>
      </c>
      <c r="D38" s="33">
        <f>D40-D39</f>
        <v>0.99773733852348767</v>
      </c>
      <c r="E38" s="27">
        <f>E40-E39</f>
        <v>27955</v>
      </c>
      <c r="F38" s="32">
        <v>1203837</v>
      </c>
      <c r="G38" s="33">
        <f>G40-G39</f>
        <v>0.99776219046742864</v>
      </c>
      <c r="H38" s="27">
        <f>H40-H39</f>
        <v>27563</v>
      </c>
      <c r="I38" s="27"/>
      <c r="J38" s="27"/>
      <c r="K38" s="27"/>
      <c r="L38" s="27"/>
      <c r="M38" s="33"/>
      <c r="N38" s="27"/>
      <c r="O38" s="32"/>
      <c r="P38" s="33"/>
      <c r="Q38" s="27"/>
      <c r="R38" s="32"/>
      <c r="S38" s="33"/>
      <c r="T38" s="27"/>
      <c r="U38" s="32"/>
      <c r="V38" s="33"/>
      <c r="W38" s="27"/>
      <c r="X38" s="32"/>
      <c r="Y38" s="32"/>
      <c r="Z38" s="27"/>
      <c r="AA38" s="32"/>
      <c r="AB38" s="33"/>
      <c r="AC38" s="27"/>
    </row>
    <row r="39" spans="1:29">
      <c r="A39">
        <f t="shared" si="1"/>
        <v>24</v>
      </c>
      <c r="B39" s="32" t="s">
        <v>335</v>
      </c>
      <c r="C39" s="32">
        <v>2700</v>
      </c>
      <c r="D39" s="33">
        <f>C39/C40</f>
        <v>2.262661476512317E-3</v>
      </c>
      <c r="E39" s="96">
        <f>ROUND(D39*E40,0)</f>
        <v>63</v>
      </c>
      <c r="F39" s="32">
        <v>2700</v>
      </c>
      <c r="G39" s="33">
        <f>F39/F40</f>
        <v>2.2378095325713177E-3</v>
      </c>
      <c r="H39" s="27">
        <f>ROUND($G39*H40,0)</f>
        <v>62</v>
      </c>
      <c r="I39" s="27"/>
      <c r="J39" s="27"/>
      <c r="K39" s="27"/>
      <c r="L39" s="27"/>
      <c r="M39" s="33"/>
      <c r="N39" s="27"/>
      <c r="O39" s="32"/>
      <c r="P39" s="33"/>
      <c r="Q39" s="27"/>
      <c r="R39" s="32"/>
      <c r="S39" s="33"/>
      <c r="T39" s="27"/>
      <c r="U39" s="32"/>
      <c r="V39" s="33"/>
      <c r="W39" s="27"/>
      <c r="X39" s="32"/>
      <c r="Y39" s="32"/>
      <c r="Z39" s="27"/>
      <c r="AA39" s="32"/>
      <c r="AB39" s="33"/>
      <c r="AC39" s="27"/>
    </row>
    <row r="40" spans="1:29">
      <c r="A40">
        <f t="shared" si="1"/>
        <v>25</v>
      </c>
      <c r="B40" s="32" t="s">
        <v>287</v>
      </c>
      <c r="C40" s="32">
        <f>SUM(C38:C39)</f>
        <v>1193285</v>
      </c>
      <c r="D40" s="7">
        <v>1</v>
      </c>
      <c r="E40" s="27">
        <f>+'Corps Rec Project O&amp;M'!N17</f>
        <v>28018</v>
      </c>
      <c r="F40" s="32">
        <f>SUM(F38:F39)</f>
        <v>1206537</v>
      </c>
      <c r="G40" s="7">
        <v>1</v>
      </c>
      <c r="H40" s="27">
        <f>+'Corps Rec Project O&amp;M'!O17</f>
        <v>27625</v>
      </c>
      <c r="I40" s="27"/>
      <c r="J40" s="27"/>
      <c r="K40" s="27"/>
      <c r="L40" s="27"/>
      <c r="M40" s="7"/>
      <c r="N40" s="27"/>
      <c r="O40" s="32"/>
      <c r="P40" s="7"/>
      <c r="Q40" s="27"/>
      <c r="R40" s="32"/>
      <c r="S40" s="7"/>
      <c r="T40" s="27"/>
      <c r="U40" s="32"/>
      <c r="V40" s="7"/>
      <c r="W40" s="27"/>
      <c r="X40" s="32"/>
      <c r="Y40" s="32"/>
      <c r="Z40" s="27"/>
      <c r="AA40" s="32"/>
      <c r="AB40" s="7"/>
      <c r="AC40" s="27"/>
    </row>
    <row r="41" spans="1:29">
      <c r="A41">
        <f t="shared" si="1"/>
        <v>26</v>
      </c>
      <c r="B41" s="41" t="s">
        <v>344</v>
      </c>
    </row>
    <row r="42" spans="1:29">
      <c r="A42">
        <f t="shared" si="1"/>
        <v>27</v>
      </c>
      <c r="B42" t="s">
        <v>345</v>
      </c>
      <c r="E42" s="10">
        <f>E51-E40</f>
        <v>231804.53983000002</v>
      </c>
      <c r="H42" s="10">
        <f>H51-H40</f>
        <v>224932.00003000002</v>
      </c>
      <c r="I42" s="10"/>
      <c r="J42" s="10"/>
      <c r="K42" s="10"/>
      <c r="L42" s="10"/>
      <c r="N42" s="10"/>
      <c r="Q42" s="10"/>
      <c r="T42" s="10"/>
      <c r="W42" s="10"/>
      <c r="Z42" s="10"/>
      <c r="AC42" s="10"/>
    </row>
    <row r="43" spans="1:29">
      <c r="A43">
        <f t="shared" si="1"/>
        <v>28</v>
      </c>
      <c r="B43" t="s">
        <v>346</v>
      </c>
      <c r="E43" s="27">
        <f>E53</f>
        <v>33000</v>
      </c>
      <c r="H43" s="27">
        <f>H53</f>
        <v>29000</v>
      </c>
      <c r="I43" s="27"/>
      <c r="J43" s="27"/>
      <c r="K43" s="27"/>
      <c r="L43" s="27"/>
      <c r="N43" s="27"/>
      <c r="Q43" s="27"/>
      <c r="T43" s="27"/>
      <c r="W43" s="27"/>
      <c r="Z43" s="27"/>
      <c r="AC43" s="27"/>
    </row>
    <row r="45" spans="1:29">
      <c r="A45">
        <f>A43+1</f>
        <v>29</v>
      </c>
      <c r="B45" s="32" t="s">
        <v>333</v>
      </c>
      <c r="E45" s="10">
        <f>E43+E42+E38</f>
        <v>292759.53983000002</v>
      </c>
      <c r="H45" s="10">
        <f>H43+H42+H38</f>
        <v>281495.00003</v>
      </c>
      <c r="I45" s="10"/>
      <c r="J45" s="10"/>
      <c r="K45" s="10"/>
      <c r="L45" s="10"/>
      <c r="N45" s="10"/>
      <c r="Q45" s="10"/>
      <c r="T45" s="10"/>
      <c r="W45" s="10"/>
      <c r="X45" s="32"/>
      <c r="Y45" s="32"/>
      <c r="Z45" s="10"/>
      <c r="AC45" s="10"/>
    </row>
    <row r="46" spans="1:29">
      <c r="A46">
        <v>30</v>
      </c>
      <c r="B46" s="32" t="s">
        <v>335</v>
      </c>
      <c r="E46" s="10">
        <f>E39</f>
        <v>63</v>
      </c>
      <c r="H46" s="10">
        <f>H39</f>
        <v>62</v>
      </c>
      <c r="I46" s="10"/>
      <c r="J46" s="10"/>
      <c r="K46" s="10"/>
      <c r="L46" s="10"/>
      <c r="N46" s="10"/>
      <c r="Q46" s="10"/>
      <c r="T46" s="10"/>
      <c r="W46" s="10"/>
      <c r="X46" s="17"/>
      <c r="Y46" s="17"/>
      <c r="Z46" s="10"/>
      <c r="AC46" s="10"/>
    </row>
    <row r="47" spans="1:29">
      <c r="A47">
        <v>31</v>
      </c>
      <c r="B47" t="s">
        <v>347</v>
      </c>
      <c r="E47" s="10">
        <f>E45+E46</f>
        <v>292822.53983000002</v>
      </c>
      <c r="H47" s="10">
        <f>H45+H46</f>
        <v>281557.00003</v>
      </c>
      <c r="I47" s="10"/>
      <c r="J47" s="10"/>
      <c r="K47" s="10"/>
      <c r="L47" s="10"/>
      <c r="N47" s="10"/>
      <c r="Q47" s="10"/>
      <c r="T47" s="10"/>
      <c r="W47" s="10"/>
      <c r="X47" s="17"/>
      <c r="Y47" s="17"/>
      <c r="Z47" s="10"/>
      <c r="AC47" s="10"/>
    </row>
    <row r="50" spans="2:29">
      <c r="B50" t="s">
        <v>348</v>
      </c>
      <c r="E50" s="10"/>
      <c r="H50" s="10"/>
      <c r="N50" s="10"/>
      <c r="Q50" s="10"/>
      <c r="T50" s="10"/>
      <c r="W50" s="10"/>
      <c r="Z50" s="10"/>
      <c r="AC50" s="10"/>
    </row>
    <row r="51" spans="2:29">
      <c r="B51" t="s">
        <v>349</v>
      </c>
      <c r="E51" s="27">
        <f>+'Corps Rec Project O&amp;M'!N34</f>
        <v>259822.53983000002</v>
      </c>
      <c r="H51" s="27">
        <f>+'IPR Data'!D6/1000</f>
        <v>252557.00003000002</v>
      </c>
      <c r="I51" s="27"/>
      <c r="J51" s="27"/>
      <c r="K51" s="27"/>
      <c r="L51" s="27"/>
      <c r="N51" s="27"/>
      <c r="Q51" s="27"/>
      <c r="T51" s="27"/>
      <c r="W51" s="27"/>
      <c r="Z51" s="27"/>
      <c r="AC51" s="27"/>
    </row>
    <row r="52" spans="2:29">
      <c r="B52" t="s">
        <v>350</v>
      </c>
    </row>
    <row r="53" spans="2:29">
      <c r="B53" t="s">
        <v>351</v>
      </c>
      <c r="E53" s="27">
        <f>+'IPR Data'!C61/1000</f>
        <v>33000</v>
      </c>
      <c r="H53" s="27">
        <f>+'IPR Data'!D61/1000</f>
        <v>29000</v>
      </c>
      <c r="I53" s="27"/>
      <c r="J53" s="27"/>
      <c r="K53" s="27"/>
      <c r="L53" s="27"/>
      <c r="N53" s="27"/>
      <c r="Q53" s="27"/>
      <c r="T53" s="27"/>
      <c r="W53" s="27"/>
      <c r="Z53" s="27"/>
      <c r="AC53" s="27"/>
    </row>
    <row r="57" spans="2:29">
      <c r="E57" s="10">
        <f>E51+E28-E39</f>
        <v>404833.53983000002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-0.249977111117893"/>
  </sheetPr>
  <dimension ref="A1:X47"/>
  <sheetViews>
    <sheetView zoomScale="80" zoomScaleNormal="80" workbookViewId="0">
      <selection activeCell="Q24" sqref="Q24:Q34"/>
    </sheetView>
  </sheetViews>
  <sheetFormatPr defaultRowHeight="12.75"/>
  <cols>
    <col min="2" max="2" width="22" customWidth="1"/>
    <col min="3" max="3" width="9.7109375" hidden="1" customWidth="1"/>
    <col min="4" max="9" width="10.7109375" hidden="1" customWidth="1"/>
    <col min="10" max="12" width="10.7109375" customWidth="1"/>
    <col min="13" max="13" width="12" customWidth="1"/>
    <col min="14" max="14" width="11.85546875" bestFit="1" customWidth="1"/>
    <col min="15" max="15" width="11.28515625" bestFit="1" customWidth="1"/>
    <col min="265" max="265" width="22" customWidth="1"/>
    <col min="266" max="266" width="9.7109375" bestFit="1" customWidth="1"/>
    <col min="267" max="268" width="10.7109375" bestFit="1" customWidth="1"/>
    <col min="269" max="269" width="12" customWidth="1"/>
    <col min="270" max="270" width="11.7109375" bestFit="1" customWidth="1"/>
    <col min="521" max="521" width="22" customWidth="1"/>
    <col min="522" max="522" width="9.7109375" bestFit="1" customWidth="1"/>
    <col min="523" max="524" width="10.7109375" bestFit="1" customWidth="1"/>
    <col min="525" max="525" width="12" customWidth="1"/>
    <col min="526" max="526" width="11.7109375" bestFit="1" customWidth="1"/>
    <col min="777" max="777" width="22" customWidth="1"/>
    <col min="778" max="778" width="9.7109375" bestFit="1" customWidth="1"/>
    <col min="779" max="780" width="10.7109375" bestFit="1" customWidth="1"/>
    <col min="781" max="781" width="12" customWidth="1"/>
    <col min="782" max="782" width="11.7109375" bestFit="1" customWidth="1"/>
    <col min="1033" max="1033" width="22" customWidth="1"/>
    <col min="1034" max="1034" width="9.7109375" bestFit="1" customWidth="1"/>
    <col min="1035" max="1036" width="10.7109375" bestFit="1" customWidth="1"/>
    <col min="1037" max="1037" width="12" customWidth="1"/>
    <col min="1038" max="1038" width="11.7109375" bestFit="1" customWidth="1"/>
    <col min="1289" max="1289" width="22" customWidth="1"/>
    <col min="1290" max="1290" width="9.7109375" bestFit="1" customWidth="1"/>
    <col min="1291" max="1292" width="10.7109375" bestFit="1" customWidth="1"/>
    <col min="1293" max="1293" width="12" customWidth="1"/>
    <col min="1294" max="1294" width="11.7109375" bestFit="1" customWidth="1"/>
    <col min="1545" max="1545" width="22" customWidth="1"/>
    <col min="1546" max="1546" width="9.7109375" bestFit="1" customWidth="1"/>
    <col min="1547" max="1548" width="10.7109375" bestFit="1" customWidth="1"/>
    <col min="1549" max="1549" width="12" customWidth="1"/>
    <col min="1550" max="1550" width="11.7109375" bestFit="1" customWidth="1"/>
    <col min="1801" max="1801" width="22" customWidth="1"/>
    <col min="1802" max="1802" width="9.7109375" bestFit="1" customWidth="1"/>
    <col min="1803" max="1804" width="10.7109375" bestFit="1" customWidth="1"/>
    <col min="1805" max="1805" width="12" customWidth="1"/>
    <col min="1806" max="1806" width="11.7109375" bestFit="1" customWidth="1"/>
    <col min="2057" max="2057" width="22" customWidth="1"/>
    <col min="2058" max="2058" width="9.7109375" bestFit="1" customWidth="1"/>
    <col min="2059" max="2060" width="10.7109375" bestFit="1" customWidth="1"/>
    <col min="2061" max="2061" width="12" customWidth="1"/>
    <col min="2062" max="2062" width="11.7109375" bestFit="1" customWidth="1"/>
    <col min="2313" max="2313" width="22" customWidth="1"/>
    <col min="2314" max="2314" width="9.7109375" bestFit="1" customWidth="1"/>
    <col min="2315" max="2316" width="10.7109375" bestFit="1" customWidth="1"/>
    <col min="2317" max="2317" width="12" customWidth="1"/>
    <col min="2318" max="2318" width="11.7109375" bestFit="1" customWidth="1"/>
    <col min="2569" max="2569" width="22" customWidth="1"/>
    <col min="2570" max="2570" width="9.7109375" bestFit="1" customWidth="1"/>
    <col min="2571" max="2572" width="10.7109375" bestFit="1" customWidth="1"/>
    <col min="2573" max="2573" width="12" customWidth="1"/>
    <col min="2574" max="2574" width="11.7109375" bestFit="1" customWidth="1"/>
    <col min="2825" max="2825" width="22" customWidth="1"/>
    <col min="2826" max="2826" width="9.7109375" bestFit="1" customWidth="1"/>
    <col min="2827" max="2828" width="10.7109375" bestFit="1" customWidth="1"/>
    <col min="2829" max="2829" width="12" customWidth="1"/>
    <col min="2830" max="2830" width="11.7109375" bestFit="1" customWidth="1"/>
    <col min="3081" max="3081" width="22" customWidth="1"/>
    <col min="3082" max="3082" width="9.7109375" bestFit="1" customWidth="1"/>
    <col min="3083" max="3084" width="10.7109375" bestFit="1" customWidth="1"/>
    <col min="3085" max="3085" width="12" customWidth="1"/>
    <col min="3086" max="3086" width="11.7109375" bestFit="1" customWidth="1"/>
    <col min="3337" max="3337" width="22" customWidth="1"/>
    <col min="3338" max="3338" width="9.7109375" bestFit="1" customWidth="1"/>
    <col min="3339" max="3340" width="10.7109375" bestFit="1" customWidth="1"/>
    <col min="3341" max="3341" width="12" customWidth="1"/>
    <col min="3342" max="3342" width="11.7109375" bestFit="1" customWidth="1"/>
    <col min="3593" max="3593" width="22" customWidth="1"/>
    <col min="3594" max="3594" width="9.7109375" bestFit="1" customWidth="1"/>
    <col min="3595" max="3596" width="10.7109375" bestFit="1" customWidth="1"/>
    <col min="3597" max="3597" width="12" customWidth="1"/>
    <col min="3598" max="3598" width="11.7109375" bestFit="1" customWidth="1"/>
    <col min="3849" max="3849" width="22" customWidth="1"/>
    <col min="3850" max="3850" width="9.7109375" bestFit="1" customWidth="1"/>
    <col min="3851" max="3852" width="10.7109375" bestFit="1" customWidth="1"/>
    <col min="3853" max="3853" width="12" customWidth="1"/>
    <col min="3854" max="3854" width="11.7109375" bestFit="1" customWidth="1"/>
    <col min="4105" max="4105" width="22" customWidth="1"/>
    <col min="4106" max="4106" width="9.7109375" bestFit="1" customWidth="1"/>
    <col min="4107" max="4108" width="10.7109375" bestFit="1" customWidth="1"/>
    <col min="4109" max="4109" width="12" customWidth="1"/>
    <col min="4110" max="4110" width="11.7109375" bestFit="1" customWidth="1"/>
    <col min="4361" max="4361" width="22" customWidth="1"/>
    <col min="4362" max="4362" width="9.7109375" bestFit="1" customWidth="1"/>
    <col min="4363" max="4364" width="10.7109375" bestFit="1" customWidth="1"/>
    <col min="4365" max="4365" width="12" customWidth="1"/>
    <col min="4366" max="4366" width="11.7109375" bestFit="1" customWidth="1"/>
    <col min="4617" max="4617" width="22" customWidth="1"/>
    <col min="4618" max="4618" width="9.7109375" bestFit="1" customWidth="1"/>
    <col min="4619" max="4620" width="10.7109375" bestFit="1" customWidth="1"/>
    <col min="4621" max="4621" width="12" customWidth="1"/>
    <col min="4622" max="4622" width="11.7109375" bestFit="1" customWidth="1"/>
    <col min="4873" max="4873" width="22" customWidth="1"/>
    <col min="4874" max="4874" width="9.7109375" bestFit="1" customWidth="1"/>
    <col min="4875" max="4876" width="10.7109375" bestFit="1" customWidth="1"/>
    <col min="4877" max="4877" width="12" customWidth="1"/>
    <col min="4878" max="4878" width="11.7109375" bestFit="1" customWidth="1"/>
    <col min="5129" max="5129" width="22" customWidth="1"/>
    <col min="5130" max="5130" width="9.7109375" bestFit="1" customWidth="1"/>
    <col min="5131" max="5132" width="10.7109375" bestFit="1" customWidth="1"/>
    <col min="5133" max="5133" width="12" customWidth="1"/>
    <col min="5134" max="5134" width="11.7109375" bestFit="1" customWidth="1"/>
    <col min="5385" max="5385" width="22" customWidth="1"/>
    <col min="5386" max="5386" width="9.7109375" bestFit="1" customWidth="1"/>
    <col min="5387" max="5388" width="10.7109375" bestFit="1" customWidth="1"/>
    <col min="5389" max="5389" width="12" customWidth="1"/>
    <col min="5390" max="5390" width="11.7109375" bestFit="1" customWidth="1"/>
    <col min="5641" max="5641" width="22" customWidth="1"/>
    <col min="5642" max="5642" width="9.7109375" bestFit="1" customWidth="1"/>
    <col min="5643" max="5644" width="10.7109375" bestFit="1" customWidth="1"/>
    <col min="5645" max="5645" width="12" customWidth="1"/>
    <col min="5646" max="5646" width="11.7109375" bestFit="1" customWidth="1"/>
    <col min="5897" max="5897" width="22" customWidth="1"/>
    <col min="5898" max="5898" width="9.7109375" bestFit="1" customWidth="1"/>
    <col min="5899" max="5900" width="10.7109375" bestFit="1" customWidth="1"/>
    <col min="5901" max="5901" width="12" customWidth="1"/>
    <col min="5902" max="5902" width="11.7109375" bestFit="1" customWidth="1"/>
    <col min="6153" max="6153" width="22" customWidth="1"/>
    <col min="6154" max="6154" width="9.7109375" bestFit="1" customWidth="1"/>
    <col min="6155" max="6156" width="10.7109375" bestFit="1" customWidth="1"/>
    <col min="6157" max="6157" width="12" customWidth="1"/>
    <col min="6158" max="6158" width="11.7109375" bestFit="1" customWidth="1"/>
    <col min="6409" max="6409" width="22" customWidth="1"/>
    <col min="6410" max="6410" width="9.7109375" bestFit="1" customWidth="1"/>
    <col min="6411" max="6412" width="10.7109375" bestFit="1" customWidth="1"/>
    <col min="6413" max="6413" width="12" customWidth="1"/>
    <col min="6414" max="6414" width="11.7109375" bestFit="1" customWidth="1"/>
    <col min="6665" max="6665" width="22" customWidth="1"/>
    <col min="6666" max="6666" width="9.7109375" bestFit="1" customWidth="1"/>
    <col min="6667" max="6668" width="10.7109375" bestFit="1" customWidth="1"/>
    <col min="6669" max="6669" width="12" customWidth="1"/>
    <col min="6670" max="6670" width="11.7109375" bestFit="1" customWidth="1"/>
    <col min="6921" max="6921" width="22" customWidth="1"/>
    <col min="6922" max="6922" width="9.7109375" bestFit="1" customWidth="1"/>
    <col min="6923" max="6924" width="10.7109375" bestFit="1" customWidth="1"/>
    <col min="6925" max="6925" width="12" customWidth="1"/>
    <col min="6926" max="6926" width="11.7109375" bestFit="1" customWidth="1"/>
    <col min="7177" max="7177" width="22" customWidth="1"/>
    <col min="7178" max="7178" width="9.7109375" bestFit="1" customWidth="1"/>
    <col min="7179" max="7180" width="10.7109375" bestFit="1" customWidth="1"/>
    <col min="7181" max="7181" width="12" customWidth="1"/>
    <col min="7182" max="7182" width="11.7109375" bestFit="1" customWidth="1"/>
    <col min="7433" max="7433" width="22" customWidth="1"/>
    <col min="7434" max="7434" width="9.7109375" bestFit="1" customWidth="1"/>
    <col min="7435" max="7436" width="10.7109375" bestFit="1" customWidth="1"/>
    <col min="7437" max="7437" width="12" customWidth="1"/>
    <col min="7438" max="7438" width="11.7109375" bestFit="1" customWidth="1"/>
    <col min="7689" max="7689" width="22" customWidth="1"/>
    <col min="7690" max="7690" width="9.7109375" bestFit="1" customWidth="1"/>
    <col min="7691" max="7692" width="10.7109375" bestFit="1" customWidth="1"/>
    <col min="7693" max="7693" width="12" customWidth="1"/>
    <col min="7694" max="7694" width="11.7109375" bestFit="1" customWidth="1"/>
    <col min="7945" max="7945" width="22" customWidth="1"/>
    <col min="7946" max="7946" width="9.7109375" bestFit="1" customWidth="1"/>
    <col min="7947" max="7948" width="10.7109375" bestFit="1" customWidth="1"/>
    <col min="7949" max="7949" width="12" customWidth="1"/>
    <col min="7950" max="7950" width="11.7109375" bestFit="1" customWidth="1"/>
    <col min="8201" max="8201" width="22" customWidth="1"/>
    <col min="8202" max="8202" width="9.7109375" bestFit="1" customWidth="1"/>
    <col min="8203" max="8204" width="10.7109375" bestFit="1" customWidth="1"/>
    <col min="8205" max="8205" width="12" customWidth="1"/>
    <col min="8206" max="8206" width="11.7109375" bestFit="1" customWidth="1"/>
    <col min="8457" max="8457" width="22" customWidth="1"/>
    <col min="8458" max="8458" width="9.7109375" bestFit="1" customWidth="1"/>
    <col min="8459" max="8460" width="10.7109375" bestFit="1" customWidth="1"/>
    <col min="8461" max="8461" width="12" customWidth="1"/>
    <col min="8462" max="8462" width="11.7109375" bestFit="1" customWidth="1"/>
    <col min="8713" max="8713" width="22" customWidth="1"/>
    <col min="8714" max="8714" width="9.7109375" bestFit="1" customWidth="1"/>
    <col min="8715" max="8716" width="10.7109375" bestFit="1" customWidth="1"/>
    <col min="8717" max="8717" width="12" customWidth="1"/>
    <col min="8718" max="8718" width="11.7109375" bestFit="1" customWidth="1"/>
    <col min="8969" max="8969" width="22" customWidth="1"/>
    <col min="8970" max="8970" width="9.7109375" bestFit="1" customWidth="1"/>
    <col min="8971" max="8972" width="10.7109375" bestFit="1" customWidth="1"/>
    <col min="8973" max="8973" width="12" customWidth="1"/>
    <col min="8974" max="8974" width="11.7109375" bestFit="1" customWidth="1"/>
    <col min="9225" max="9225" width="22" customWidth="1"/>
    <col min="9226" max="9226" width="9.7109375" bestFit="1" customWidth="1"/>
    <col min="9227" max="9228" width="10.7109375" bestFit="1" customWidth="1"/>
    <col min="9229" max="9229" width="12" customWidth="1"/>
    <col min="9230" max="9230" width="11.7109375" bestFit="1" customWidth="1"/>
    <col min="9481" max="9481" width="22" customWidth="1"/>
    <col min="9482" max="9482" width="9.7109375" bestFit="1" customWidth="1"/>
    <col min="9483" max="9484" width="10.7109375" bestFit="1" customWidth="1"/>
    <col min="9485" max="9485" width="12" customWidth="1"/>
    <col min="9486" max="9486" width="11.7109375" bestFit="1" customWidth="1"/>
    <col min="9737" max="9737" width="22" customWidth="1"/>
    <col min="9738" max="9738" width="9.7109375" bestFit="1" customWidth="1"/>
    <col min="9739" max="9740" width="10.7109375" bestFit="1" customWidth="1"/>
    <col min="9741" max="9741" width="12" customWidth="1"/>
    <col min="9742" max="9742" width="11.7109375" bestFit="1" customWidth="1"/>
    <col min="9993" max="9993" width="22" customWidth="1"/>
    <col min="9994" max="9994" width="9.7109375" bestFit="1" customWidth="1"/>
    <col min="9995" max="9996" width="10.7109375" bestFit="1" customWidth="1"/>
    <col min="9997" max="9997" width="12" customWidth="1"/>
    <col min="9998" max="9998" width="11.7109375" bestFit="1" customWidth="1"/>
    <col min="10249" max="10249" width="22" customWidth="1"/>
    <col min="10250" max="10250" width="9.7109375" bestFit="1" customWidth="1"/>
    <col min="10251" max="10252" width="10.7109375" bestFit="1" customWidth="1"/>
    <col min="10253" max="10253" width="12" customWidth="1"/>
    <col min="10254" max="10254" width="11.7109375" bestFit="1" customWidth="1"/>
    <col min="10505" max="10505" width="22" customWidth="1"/>
    <col min="10506" max="10506" width="9.7109375" bestFit="1" customWidth="1"/>
    <col min="10507" max="10508" width="10.7109375" bestFit="1" customWidth="1"/>
    <col min="10509" max="10509" width="12" customWidth="1"/>
    <col min="10510" max="10510" width="11.7109375" bestFit="1" customWidth="1"/>
    <col min="10761" max="10761" width="22" customWidth="1"/>
    <col min="10762" max="10762" width="9.7109375" bestFit="1" customWidth="1"/>
    <col min="10763" max="10764" width="10.7109375" bestFit="1" customWidth="1"/>
    <col min="10765" max="10765" width="12" customWidth="1"/>
    <col min="10766" max="10766" width="11.7109375" bestFit="1" customWidth="1"/>
    <col min="11017" max="11017" width="22" customWidth="1"/>
    <col min="11018" max="11018" width="9.7109375" bestFit="1" customWidth="1"/>
    <col min="11019" max="11020" width="10.7109375" bestFit="1" customWidth="1"/>
    <col min="11021" max="11021" width="12" customWidth="1"/>
    <col min="11022" max="11022" width="11.7109375" bestFit="1" customWidth="1"/>
    <col min="11273" max="11273" width="22" customWidth="1"/>
    <col min="11274" max="11274" width="9.7109375" bestFit="1" customWidth="1"/>
    <col min="11275" max="11276" width="10.7109375" bestFit="1" customWidth="1"/>
    <col min="11277" max="11277" width="12" customWidth="1"/>
    <col min="11278" max="11278" width="11.7109375" bestFit="1" customWidth="1"/>
    <col min="11529" max="11529" width="22" customWidth="1"/>
    <col min="11530" max="11530" width="9.7109375" bestFit="1" customWidth="1"/>
    <col min="11531" max="11532" width="10.7109375" bestFit="1" customWidth="1"/>
    <col min="11533" max="11533" width="12" customWidth="1"/>
    <col min="11534" max="11534" width="11.7109375" bestFit="1" customWidth="1"/>
    <col min="11785" max="11785" width="22" customWidth="1"/>
    <col min="11786" max="11786" width="9.7109375" bestFit="1" customWidth="1"/>
    <col min="11787" max="11788" width="10.7109375" bestFit="1" customWidth="1"/>
    <col min="11789" max="11789" width="12" customWidth="1"/>
    <col min="11790" max="11790" width="11.7109375" bestFit="1" customWidth="1"/>
    <col min="12041" max="12041" width="22" customWidth="1"/>
    <col min="12042" max="12042" width="9.7109375" bestFit="1" customWidth="1"/>
    <col min="12043" max="12044" width="10.7109375" bestFit="1" customWidth="1"/>
    <col min="12045" max="12045" width="12" customWidth="1"/>
    <col min="12046" max="12046" width="11.7109375" bestFit="1" customWidth="1"/>
    <col min="12297" max="12297" width="22" customWidth="1"/>
    <col min="12298" max="12298" width="9.7109375" bestFit="1" customWidth="1"/>
    <col min="12299" max="12300" width="10.7109375" bestFit="1" customWidth="1"/>
    <col min="12301" max="12301" width="12" customWidth="1"/>
    <col min="12302" max="12302" width="11.7109375" bestFit="1" customWidth="1"/>
    <col min="12553" max="12553" width="22" customWidth="1"/>
    <col min="12554" max="12554" width="9.7109375" bestFit="1" customWidth="1"/>
    <col min="12555" max="12556" width="10.7109375" bestFit="1" customWidth="1"/>
    <col min="12557" max="12557" width="12" customWidth="1"/>
    <col min="12558" max="12558" width="11.7109375" bestFit="1" customWidth="1"/>
    <col min="12809" max="12809" width="22" customWidth="1"/>
    <col min="12810" max="12810" width="9.7109375" bestFit="1" customWidth="1"/>
    <col min="12811" max="12812" width="10.7109375" bestFit="1" customWidth="1"/>
    <col min="12813" max="12813" width="12" customWidth="1"/>
    <col min="12814" max="12814" width="11.7109375" bestFit="1" customWidth="1"/>
    <col min="13065" max="13065" width="22" customWidth="1"/>
    <col min="13066" max="13066" width="9.7109375" bestFit="1" customWidth="1"/>
    <col min="13067" max="13068" width="10.7109375" bestFit="1" customWidth="1"/>
    <col min="13069" max="13069" width="12" customWidth="1"/>
    <col min="13070" max="13070" width="11.7109375" bestFit="1" customWidth="1"/>
    <col min="13321" max="13321" width="22" customWidth="1"/>
    <col min="13322" max="13322" width="9.7109375" bestFit="1" customWidth="1"/>
    <col min="13323" max="13324" width="10.7109375" bestFit="1" customWidth="1"/>
    <col min="13325" max="13325" width="12" customWidth="1"/>
    <col min="13326" max="13326" width="11.7109375" bestFit="1" customWidth="1"/>
    <col min="13577" max="13577" width="22" customWidth="1"/>
    <col min="13578" max="13578" width="9.7109375" bestFit="1" customWidth="1"/>
    <col min="13579" max="13580" width="10.7109375" bestFit="1" customWidth="1"/>
    <col min="13581" max="13581" width="12" customWidth="1"/>
    <col min="13582" max="13582" width="11.7109375" bestFit="1" customWidth="1"/>
    <col min="13833" max="13833" width="22" customWidth="1"/>
    <col min="13834" max="13834" width="9.7109375" bestFit="1" customWidth="1"/>
    <col min="13835" max="13836" width="10.7109375" bestFit="1" customWidth="1"/>
    <col min="13837" max="13837" width="12" customWidth="1"/>
    <col min="13838" max="13838" width="11.7109375" bestFit="1" customWidth="1"/>
    <col min="14089" max="14089" width="22" customWidth="1"/>
    <col min="14090" max="14090" width="9.7109375" bestFit="1" customWidth="1"/>
    <col min="14091" max="14092" width="10.7109375" bestFit="1" customWidth="1"/>
    <col min="14093" max="14093" width="12" customWidth="1"/>
    <col min="14094" max="14094" width="11.7109375" bestFit="1" customWidth="1"/>
    <col min="14345" max="14345" width="22" customWidth="1"/>
    <col min="14346" max="14346" width="9.7109375" bestFit="1" customWidth="1"/>
    <col min="14347" max="14348" width="10.7109375" bestFit="1" customWidth="1"/>
    <col min="14349" max="14349" width="12" customWidth="1"/>
    <col min="14350" max="14350" width="11.7109375" bestFit="1" customWidth="1"/>
    <col min="14601" max="14601" width="22" customWidth="1"/>
    <col min="14602" max="14602" width="9.7109375" bestFit="1" customWidth="1"/>
    <col min="14603" max="14604" width="10.7109375" bestFit="1" customWidth="1"/>
    <col min="14605" max="14605" width="12" customWidth="1"/>
    <col min="14606" max="14606" width="11.7109375" bestFit="1" customWidth="1"/>
    <col min="14857" max="14857" width="22" customWidth="1"/>
    <col min="14858" max="14858" width="9.7109375" bestFit="1" customWidth="1"/>
    <col min="14859" max="14860" width="10.7109375" bestFit="1" customWidth="1"/>
    <col min="14861" max="14861" width="12" customWidth="1"/>
    <col min="14862" max="14862" width="11.7109375" bestFit="1" customWidth="1"/>
    <col min="15113" max="15113" width="22" customWidth="1"/>
    <col min="15114" max="15114" width="9.7109375" bestFit="1" customWidth="1"/>
    <col min="15115" max="15116" width="10.7109375" bestFit="1" customWidth="1"/>
    <col min="15117" max="15117" width="12" customWidth="1"/>
    <col min="15118" max="15118" width="11.7109375" bestFit="1" customWidth="1"/>
    <col min="15369" max="15369" width="22" customWidth="1"/>
    <col min="15370" max="15370" width="9.7109375" bestFit="1" customWidth="1"/>
    <col min="15371" max="15372" width="10.7109375" bestFit="1" customWidth="1"/>
    <col min="15373" max="15373" width="12" customWidth="1"/>
    <col min="15374" max="15374" width="11.7109375" bestFit="1" customWidth="1"/>
    <col min="15625" max="15625" width="22" customWidth="1"/>
    <col min="15626" max="15626" width="9.7109375" bestFit="1" customWidth="1"/>
    <col min="15627" max="15628" width="10.7109375" bestFit="1" customWidth="1"/>
    <col min="15629" max="15629" width="12" customWidth="1"/>
    <col min="15630" max="15630" width="11.7109375" bestFit="1" customWidth="1"/>
    <col min="15881" max="15881" width="22" customWidth="1"/>
    <col min="15882" max="15882" width="9.7109375" bestFit="1" customWidth="1"/>
    <col min="15883" max="15884" width="10.7109375" bestFit="1" customWidth="1"/>
    <col min="15885" max="15885" width="12" customWidth="1"/>
    <col min="15886" max="15886" width="11.7109375" bestFit="1" customWidth="1"/>
    <col min="16137" max="16137" width="22" customWidth="1"/>
    <col min="16138" max="16138" width="9.7109375" bestFit="1" customWidth="1"/>
    <col min="16139" max="16140" width="10.7109375" bestFit="1" customWidth="1"/>
    <col min="16141" max="16141" width="12" customWidth="1"/>
    <col min="16142" max="16142" width="11.7109375" bestFit="1" customWidth="1"/>
  </cols>
  <sheetData>
    <row r="1" spans="1:19" ht="15.75">
      <c r="B1" s="395" t="s">
        <v>444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9">
      <c r="B2" s="396" t="s">
        <v>249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9">
      <c r="D3" s="89"/>
    </row>
    <row r="4" spans="1:19">
      <c r="J4" s="101" t="s">
        <v>159</v>
      </c>
      <c r="K4" s="101" t="s">
        <v>160</v>
      </c>
      <c r="L4" s="101" t="s">
        <v>161</v>
      </c>
      <c r="M4" s="101" t="s">
        <v>162</v>
      </c>
      <c r="N4" s="101" t="s">
        <v>163</v>
      </c>
      <c r="O4" s="101" t="s">
        <v>164</v>
      </c>
    </row>
    <row r="5" spans="1:19">
      <c r="C5" s="92">
        <v>2011</v>
      </c>
      <c r="D5" s="92">
        <v>2012</v>
      </c>
      <c r="E5" s="92">
        <v>2013</v>
      </c>
      <c r="F5" s="144">
        <v>2014</v>
      </c>
      <c r="G5" s="144">
        <v>2015</v>
      </c>
      <c r="H5" s="168">
        <v>2016</v>
      </c>
      <c r="I5" s="168">
        <v>2017</v>
      </c>
      <c r="J5" s="219">
        <v>2018</v>
      </c>
      <c r="K5" s="219">
        <v>2019</v>
      </c>
      <c r="L5" s="239">
        <v>2020</v>
      </c>
      <c r="M5" s="92" t="s">
        <v>445</v>
      </c>
      <c r="N5" s="92">
        <v>2022</v>
      </c>
      <c r="O5" s="92">
        <v>2023</v>
      </c>
      <c r="P5" s="92"/>
      <c r="Q5" s="92"/>
      <c r="R5" s="92"/>
      <c r="S5" s="92"/>
    </row>
    <row r="6" spans="1:19">
      <c r="A6">
        <v>1</v>
      </c>
      <c r="B6" s="23" t="s">
        <v>332</v>
      </c>
      <c r="C6" s="19">
        <v>4157</v>
      </c>
      <c r="D6" s="19">
        <v>4547</v>
      </c>
      <c r="E6" s="19">
        <v>4480</v>
      </c>
      <c r="F6" s="19" t="s">
        <v>616</v>
      </c>
      <c r="G6" s="19">
        <v>5570.27</v>
      </c>
      <c r="H6" s="19">
        <v>5248.0630000000001</v>
      </c>
      <c r="I6" s="19">
        <v>5563.1310000000003</v>
      </c>
      <c r="J6" s="17">
        <v>5602.5739999999996</v>
      </c>
      <c r="K6" s="19">
        <v>5680.009</v>
      </c>
      <c r="L6" s="19">
        <v>5804</v>
      </c>
      <c r="M6" s="17">
        <f>AVERAGE(J6:L6)</f>
        <v>5695.5276666666659</v>
      </c>
      <c r="N6" s="17">
        <f>ROUND($M6/$M$12*N$12,0)</f>
        <v>5576</v>
      </c>
      <c r="O6" s="17">
        <f>ROUND($M6/$M$12*O$12,0)</f>
        <v>5602</v>
      </c>
      <c r="P6" s="17"/>
      <c r="Q6" s="17"/>
      <c r="R6" s="17"/>
      <c r="S6" s="17"/>
    </row>
    <row r="7" spans="1:19">
      <c r="A7">
        <v>2</v>
      </c>
      <c r="B7" s="23" t="s">
        <v>334</v>
      </c>
      <c r="C7" s="19">
        <v>67247</v>
      </c>
      <c r="D7" s="19">
        <v>69104</v>
      </c>
      <c r="E7" s="19">
        <v>106635</v>
      </c>
      <c r="F7" s="19">
        <v>111059.861</v>
      </c>
      <c r="G7" s="19">
        <v>109365.061</v>
      </c>
      <c r="H7" s="19">
        <v>107201.66899999999</v>
      </c>
      <c r="I7" s="19">
        <v>120506.302</v>
      </c>
      <c r="J7" s="17">
        <v>122477.77800000001</v>
      </c>
      <c r="K7" s="19">
        <v>130345.129</v>
      </c>
      <c r="L7" s="19">
        <v>121608</v>
      </c>
      <c r="M7" s="17">
        <f t="shared" ref="M7:M11" si="0">AVERAGE(J7:L7)</f>
        <v>124810.30233333334</v>
      </c>
      <c r="N7" s="17">
        <f t="shared" ref="N7:O11" si="1">ROUND($M7/$M$12*N$12,0)</f>
        <v>122195</v>
      </c>
      <c r="O7" s="17">
        <f t="shared" si="1"/>
        <v>122752</v>
      </c>
      <c r="P7" s="17"/>
      <c r="Q7" s="17"/>
      <c r="R7" s="17"/>
      <c r="S7" s="17"/>
    </row>
    <row r="8" spans="1:19">
      <c r="A8">
        <v>3</v>
      </c>
      <c r="B8" s="23" t="s">
        <v>336</v>
      </c>
      <c r="C8" s="19">
        <v>893</v>
      </c>
      <c r="D8" s="19">
        <v>762</v>
      </c>
      <c r="E8" s="19">
        <v>882</v>
      </c>
      <c r="F8" s="19">
        <v>4379.009</v>
      </c>
      <c r="G8" s="19">
        <v>1113.7829999999999</v>
      </c>
      <c r="H8" s="19">
        <v>1195.6579999999999</v>
      </c>
      <c r="I8" s="19">
        <v>1080.1990000000001</v>
      </c>
      <c r="J8" s="17">
        <v>1158.491</v>
      </c>
      <c r="K8" s="19">
        <v>1207.2750000000001</v>
      </c>
      <c r="L8" s="19">
        <v>1010</v>
      </c>
      <c r="M8" s="17">
        <f t="shared" si="0"/>
        <v>1125.2553333333333</v>
      </c>
      <c r="N8" s="17">
        <f t="shared" si="1"/>
        <v>1102</v>
      </c>
      <c r="O8" s="17">
        <f t="shared" si="1"/>
        <v>1107</v>
      </c>
      <c r="P8" s="17"/>
      <c r="Q8" s="17"/>
      <c r="R8" s="145"/>
      <c r="S8" s="17"/>
    </row>
    <row r="9" spans="1:19">
      <c r="A9">
        <v>4</v>
      </c>
      <c r="B9" s="23" t="s">
        <v>337</v>
      </c>
      <c r="C9" s="19">
        <v>4188</v>
      </c>
      <c r="D9" s="19">
        <v>5061</v>
      </c>
      <c r="E9" s="19">
        <v>4460</v>
      </c>
      <c r="F9" s="19">
        <v>5702.3220000000001</v>
      </c>
      <c r="G9" s="19">
        <v>6161.3440000000001</v>
      </c>
      <c r="H9" s="19">
        <v>6075.8329999999996</v>
      </c>
      <c r="I9" s="19">
        <v>6252.0339999999997</v>
      </c>
      <c r="J9" s="17">
        <v>7337.7359999999999</v>
      </c>
      <c r="K9" s="19">
        <v>6918.8339999999998</v>
      </c>
      <c r="L9" s="19">
        <v>7277</v>
      </c>
      <c r="M9" s="17">
        <f t="shared" si="0"/>
        <v>7177.8566666666666</v>
      </c>
      <c r="N9" s="17">
        <f t="shared" si="1"/>
        <v>7027</v>
      </c>
      <c r="O9" s="17">
        <f t="shared" si="1"/>
        <v>7059</v>
      </c>
      <c r="P9" s="17"/>
      <c r="Q9" s="17"/>
      <c r="R9" s="17"/>
      <c r="S9" s="17"/>
    </row>
    <row r="10" spans="1:19">
      <c r="A10">
        <v>5</v>
      </c>
      <c r="B10" s="23" t="s">
        <v>446</v>
      </c>
      <c r="C10" s="19">
        <v>7500</v>
      </c>
      <c r="D10" s="19">
        <v>7363</v>
      </c>
      <c r="E10" s="19">
        <v>8184</v>
      </c>
      <c r="F10" s="19">
        <v>9002.3979999999992</v>
      </c>
      <c r="G10" s="19">
        <v>9952.4390000000003</v>
      </c>
      <c r="H10" s="19">
        <v>11840.552</v>
      </c>
      <c r="I10" s="19">
        <v>12031.933000000001</v>
      </c>
      <c r="J10" s="17">
        <v>13063.696</v>
      </c>
      <c r="K10" s="19">
        <v>14324.442999999999</v>
      </c>
      <c r="L10" s="19">
        <v>13581</v>
      </c>
      <c r="M10" s="17">
        <f t="shared" si="0"/>
        <v>13656.379666666666</v>
      </c>
      <c r="N10" s="17">
        <f t="shared" si="1"/>
        <v>13370</v>
      </c>
      <c r="O10" s="17">
        <f t="shared" si="1"/>
        <v>13431</v>
      </c>
      <c r="P10" s="17"/>
      <c r="Q10" s="17"/>
      <c r="R10" s="17"/>
      <c r="S10" s="17"/>
    </row>
    <row r="11" spans="1:19">
      <c r="A11">
        <v>6</v>
      </c>
      <c r="B11" t="s">
        <v>339</v>
      </c>
      <c r="C11" s="19">
        <v>1890</v>
      </c>
      <c r="D11" s="19">
        <v>2283</v>
      </c>
      <c r="E11" s="19">
        <v>2274</v>
      </c>
      <c r="F11" s="19">
        <v>2610.0830000000001</v>
      </c>
      <c r="G11" s="19">
        <v>2402.8739999999998</v>
      </c>
      <c r="H11" s="19">
        <v>2764.7919999999999</v>
      </c>
      <c r="I11" s="201">
        <v>2965.5949999999998</v>
      </c>
      <c r="J11" s="18">
        <v>2964.4789999999998</v>
      </c>
      <c r="K11" s="201">
        <v>3061.643</v>
      </c>
      <c r="L11" s="201">
        <v>3163</v>
      </c>
      <c r="M11" s="18">
        <f t="shared" si="0"/>
        <v>3063.0406666666663</v>
      </c>
      <c r="N11" s="18">
        <f t="shared" si="1"/>
        <v>2999</v>
      </c>
      <c r="O11" s="18">
        <f t="shared" si="1"/>
        <v>3013</v>
      </c>
      <c r="P11" s="17"/>
      <c r="Q11" s="17"/>
      <c r="R11" s="17"/>
      <c r="S11" s="17"/>
    </row>
    <row r="12" spans="1:19">
      <c r="A12">
        <v>7</v>
      </c>
      <c r="B12" s="24" t="s">
        <v>447</v>
      </c>
      <c r="C12" s="19"/>
      <c r="D12" s="19"/>
      <c r="E12" s="19"/>
      <c r="F12" s="19"/>
      <c r="G12" s="17">
        <f t="shared" ref="G12:M12" si="2">SUM(G6:G11)</f>
        <v>134565.77100000001</v>
      </c>
      <c r="H12" s="17">
        <f t="shared" si="2"/>
        <v>134326.56699999998</v>
      </c>
      <c r="I12" s="17">
        <f t="shared" si="2"/>
        <v>148399.19399999996</v>
      </c>
      <c r="J12" s="17">
        <f t="shared" si="2"/>
        <v>152604.75399999999</v>
      </c>
      <c r="K12" s="17">
        <f t="shared" si="2"/>
        <v>161537.33300000001</v>
      </c>
      <c r="L12" s="17">
        <f t="shared" si="2"/>
        <v>152443</v>
      </c>
      <c r="M12" s="17">
        <f t="shared" si="2"/>
        <v>155528.36233333332</v>
      </c>
      <c r="N12" s="17">
        <f>+'IPR Data'!C5/1000</f>
        <v>152269.00003000002</v>
      </c>
      <c r="O12" s="17">
        <f>+'IPR Data'!D5/1000</f>
        <v>152963.00003000002</v>
      </c>
      <c r="P12" s="17"/>
      <c r="Q12" s="17"/>
      <c r="R12" s="17"/>
      <c r="S12" s="17"/>
    </row>
    <row r="13" spans="1:19" hidden="1">
      <c r="A13">
        <v>8</v>
      </c>
      <c r="B13" s="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 t="s">
        <v>448</v>
      </c>
      <c r="N13" s="17">
        <f>SUM(N6:N11)</f>
        <v>152269</v>
      </c>
      <c r="O13" s="17">
        <f>SUM(O6:O11)</f>
        <v>152964</v>
      </c>
      <c r="P13" s="17"/>
      <c r="Q13" s="17"/>
      <c r="R13" s="17"/>
      <c r="S13" s="17"/>
    </row>
    <row r="14" spans="1:19">
      <c r="A14">
        <v>9</v>
      </c>
      <c r="B14" s="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  <c r="N14" s="17"/>
      <c r="O14" s="17"/>
      <c r="P14" s="17"/>
      <c r="Q14" s="17"/>
      <c r="R14" s="17"/>
      <c r="S14" s="17"/>
    </row>
    <row r="15" spans="1:19">
      <c r="A15">
        <v>10</v>
      </c>
      <c r="B15" s="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  <c r="N15" s="17"/>
      <c r="O15" s="17"/>
      <c r="P15" s="17"/>
      <c r="Q15" s="17"/>
      <c r="R15" s="17"/>
      <c r="S15" s="17"/>
    </row>
    <row r="16" spans="1:19">
      <c r="A16">
        <v>11</v>
      </c>
      <c r="B16" s="23" t="s">
        <v>449</v>
      </c>
      <c r="C16" s="19">
        <v>6877</v>
      </c>
      <c r="D16" s="19">
        <v>7021</v>
      </c>
      <c r="E16" s="19">
        <v>7383</v>
      </c>
      <c r="F16" s="19">
        <v>7816.74</v>
      </c>
      <c r="G16" s="19">
        <v>6982.4679999999998</v>
      </c>
      <c r="H16" s="19">
        <v>8171.8119999999999</v>
      </c>
      <c r="I16" s="19">
        <v>8480.5879999999997</v>
      </c>
      <c r="J16" s="19">
        <v>9628.6229999999996</v>
      </c>
      <c r="K16" s="19">
        <v>9231.9110000000001</v>
      </c>
      <c r="L16" s="19">
        <v>8217</v>
      </c>
      <c r="M16" s="17">
        <f t="shared" ref="M16:M33" si="3">AVERAGE(J16:L16)</f>
        <v>9025.8446666666659</v>
      </c>
      <c r="N16" s="17">
        <f>ROUND($M16/$M$34*N$34,0)</f>
        <v>9597</v>
      </c>
      <c r="O16" s="17">
        <f>ROUND($M16/$M$34*O$34,0)</f>
        <v>9462</v>
      </c>
      <c r="P16" s="17"/>
      <c r="Q16" s="17"/>
      <c r="R16" s="17"/>
      <c r="S16" s="17"/>
    </row>
    <row r="17" spans="1:24">
      <c r="A17">
        <v>12</v>
      </c>
      <c r="B17" t="s">
        <v>343</v>
      </c>
      <c r="C17" s="19">
        <v>24784</v>
      </c>
      <c r="D17" s="19">
        <v>24739</v>
      </c>
      <c r="E17" s="19">
        <v>22955</v>
      </c>
      <c r="F17" s="19">
        <v>25647.612000000001</v>
      </c>
      <c r="G17" s="19">
        <v>26041.111000000001</v>
      </c>
      <c r="H17" s="19">
        <v>26229.543000000001</v>
      </c>
      <c r="I17" s="19">
        <v>29242.929</v>
      </c>
      <c r="J17" s="19">
        <v>24447.351999999999</v>
      </c>
      <c r="K17" s="19">
        <v>29610.488000000001</v>
      </c>
      <c r="L17" s="19">
        <v>24997</v>
      </c>
      <c r="M17" s="17">
        <f t="shared" si="3"/>
        <v>26351.613333333331</v>
      </c>
      <c r="N17" s="17">
        <f t="shared" ref="N17:O33" si="4">ROUND($M17/$M$34*N$34,0)</f>
        <v>28018</v>
      </c>
      <c r="O17" s="17">
        <f t="shared" si="4"/>
        <v>27625</v>
      </c>
      <c r="P17" s="17"/>
      <c r="Q17" s="17"/>
      <c r="R17" s="17"/>
      <c r="S17" s="17"/>
    </row>
    <row r="18" spans="1:24">
      <c r="A18">
        <v>13</v>
      </c>
      <c r="B18" s="23" t="s">
        <v>450</v>
      </c>
      <c r="C18" s="19">
        <v>19474</v>
      </c>
      <c r="D18" s="19">
        <v>21867</v>
      </c>
      <c r="E18" s="19">
        <v>24045</v>
      </c>
      <c r="F18" s="19">
        <v>24761.922999999999</v>
      </c>
      <c r="G18" s="19">
        <v>31102.039000000001</v>
      </c>
      <c r="H18" s="19">
        <v>27637.127</v>
      </c>
      <c r="I18" s="19">
        <v>28822.664000000001</v>
      </c>
      <c r="J18" s="19">
        <v>30731.228999999999</v>
      </c>
      <c r="K18" s="19">
        <v>39190.169000000002</v>
      </c>
      <c r="L18" s="19">
        <v>30082</v>
      </c>
      <c r="M18" s="17">
        <f t="shared" si="3"/>
        <v>33334.466</v>
      </c>
      <c r="N18" s="17">
        <f t="shared" si="4"/>
        <v>35442</v>
      </c>
      <c r="O18" s="17">
        <f t="shared" si="4"/>
        <v>34945</v>
      </c>
      <c r="P18" s="17"/>
      <c r="Q18" s="17"/>
      <c r="R18" s="17"/>
      <c r="S18" s="17"/>
    </row>
    <row r="19" spans="1:24">
      <c r="A19">
        <v>14</v>
      </c>
      <c r="B19" t="s">
        <v>451</v>
      </c>
      <c r="C19" s="19">
        <v>1407</v>
      </c>
      <c r="D19" s="19">
        <v>-321</v>
      </c>
      <c r="E19" s="19">
        <v>1391</v>
      </c>
      <c r="F19" s="19">
        <v>1437.8579999999999</v>
      </c>
      <c r="G19" s="19">
        <v>1540.8679999999999</v>
      </c>
      <c r="H19" s="19">
        <v>1556.0820000000001</v>
      </c>
      <c r="I19" s="19">
        <v>1462.6179999999999</v>
      </c>
      <c r="J19" s="19">
        <v>1505.721</v>
      </c>
      <c r="K19" s="19">
        <v>1424.7739999999999</v>
      </c>
      <c r="L19" s="19">
        <v>1472</v>
      </c>
      <c r="M19" s="17">
        <f t="shared" si="3"/>
        <v>1467.4983333333332</v>
      </c>
      <c r="N19" s="17">
        <f t="shared" si="4"/>
        <v>1560</v>
      </c>
      <c r="O19" s="17">
        <f t="shared" si="4"/>
        <v>1538</v>
      </c>
      <c r="P19" s="17"/>
      <c r="Q19" s="17"/>
      <c r="R19" s="17"/>
      <c r="S19" s="17"/>
    </row>
    <row r="20" spans="1:24">
      <c r="A20">
        <v>15</v>
      </c>
      <c r="B20" s="23" t="s">
        <v>452</v>
      </c>
      <c r="C20" s="19">
        <v>4379</v>
      </c>
      <c r="D20" s="19">
        <v>4944</v>
      </c>
      <c r="E20" s="19">
        <v>5493</v>
      </c>
      <c r="F20" s="19">
        <v>6756.232</v>
      </c>
      <c r="G20" s="19">
        <v>5509.442</v>
      </c>
      <c r="H20" s="19">
        <v>6608.049</v>
      </c>
      <c r="I20" s="19">
        <v>5767.9650000000001</v>
      </c>
      <c r="J20" s="19">
        <v>5433.1769999999997</v>
      </c>
      <c r="K20" s="19">
        <v>6615.6049999999996</v>
      </c>
      <c r="L20" s="19">
        <v>6457</v>
      </c>
      <c r="M20" s="17">
        <f t="shared" si="3"/>
        <v>6168.5940000000001</v>
      </c>
      <c r="N20" s="17">
        <f t="shared" si="4"/>
        <v>6559</v>
      </c>
      <c r="O20" s="17">
        <f t="shared" si="4"/>
        <v>6467</v>
      </c>
      <c r="P20" s="17"/>
      <c r="Q20" s="17"/>
      <c r="R20" s="17"/>
      <c r="S20" s="17"/>
    </row>
    <row r="21" spans="1:24">
      <c r="A21">
        <v>16</v>
      </c>
      <c r="B21" t="s">
        <v>453</v>
      </c>
      <c r="C21" s="19">
        <v>13460</v>
      </c>
      <c r="D21" s="19">
        <v>12486</v>
      </c>
      <c r="E21" s="19">
        <v>11418</v>
      </c>
      <c r="F21" s="19">
        <v>12255.781999999999</v>
      </c>
      <c r="G21" s="19">
        <v>11992.054</v>
      </c>
      <c r="H21" s="19">
        <v>11620.718999999999</v>
      </c>
      <c r="I21" s="19">
        <v>12589.179</v>
      </c>
      <c r="J21" s="19">
        <v>14036.44</v>
      </c>
      <c r="K21" s="19">
        <v>14706.118</v>
      </c>
      <c r="L21" s="19">
        <v>12017</v>
      </c>
      <c r="M21" s="17">
        <f t="shared" si="3"/>
        <v>13586.519333333335</v>
      </c>
      <c r="N21" s="17">
        <f t="shared" si="4"/>
        <v>14446</v>
      </c>
      <c r="O21" s="17">
        <f t="shared" si="4"/>
        <v>14243</v>
      </c>
      <c r="P21" s="17"/>
      <c r="Q21" s="17"/>
      <c r="R21" s="17"/>
      <c r="S21" s="17"/>
    </row>
    <row r="22" spans="1:24">
      <c r="A22">
        <v>17</v>
      </c>
      <c r="B22" s="23" t="s">
        <v>454</v>
      </c>
      <c r="C22" s="19">
        <v>4058</v>
      </c>
      <c r="D22" s="19">
        <v>4712</v>
      </c>
      <c r="E22" s="19">
        <v>3983</v>
      </c>
      <c r="F22" s="19">
        <v>4464.7879999999996</v>
      </c>
      <c r="G22" s="19">
        <v>5124.6419999999998</v>
      </c>
      <c r="H22" s="19">
        <v>4782.1379999999999</v>
      </c>
      <c r="I22" s="19">
        <v>4891.1019999999999</v>
      </c>
      <c r="J22" s="19">
        <v>4702.4920000000002</v>
      </c>
      <c r="K22" s="19">
        <v>4652.1869999999999</v>
      </c>
      <c r="L22" s="19">
        <v>4914</v>
      </c>
      <c r="M22" s="17">
        <f t="shared" si="3"/>
        <v>4756.2263333333331</v>
      </c>
      <c r="N22" s="17">
        <f t="shared" si="4"/>
        <v>5057</v>
      </c>
      <c r="O22" s="17">
        <f t="shared" si="4"/>
        <v>4986</v>
      </c>
      <c r="P22" s="17"/>
      <c r="Q22" s="17"/>
      <c r="R22" s="17"/>
      <c r="S22" s="17"/>
    </row>
    <row r="23" spans="1:24">
      <c r="A23">
        <v>18</v>
      </c>
      <c r="B23" s="23" t="s">
        <v>455</v>
      </c>
      <c r="C23" s="19">
        <v>1098</v>
      </c>
      <c r="D23" s="19">
        <v>1375</v>
      </c>
      <c r="E23" s="19">
        <v>1101</v>
      </c>
      <c r="F23" s="19">
        <v>1016.639</v>
      </c>
      <c r="G23" s="19">
        <v>992.63599999999997</v>
      </c>
      <c r="H23" s="19">
        <v>1193.3230000000001</v>
      </c>
      <c r="I23" s="19">
        <v>1310.203</v>
      </c>
      <c r="J23" s="19">
        <v>1157.72</v>
      </c>
      <c r="K23" s="19">
        <v>1390.4010000000001</v>
      </c>
      <c r="L23" s="19">
        <v>1229</v>
      </c>
      <c r="M23" s="17">
        <f t="shared" si="3"/>
        <v>1259.0403333333334</v>
      </c>
      <c r="N23" s="17">
        <f t="shared" si="4"/>
        <v>1339</v>
      </c>
      <c r="O23" s="17">
        <f t="shared" si="4"/>
        <v>1320</v>
      </c>
      <c r="P23" s="17"/>
      <c r="Q23" s="17"/>
      <c r="R23" s="17"/>
      <c r="S23" s="168"/>
      <c r="T23" s="168"/>
      <c r="U23" s="168"/>
      <c r="V23" s="168"/>
    </row>
    <row r="24" spans="1:24">
      <c r="A24">
        <v>19</v>
      </c>
      <c r="B24" s="94" t="s">
        <v>456</v>
      </c>
      <c r="C24" s="19">
        <v>8799</v>
      </c>
      <c r="D24" s="19">
        <v>9762</v>
      </c>
      <c r="E24" s="19">
        <v>9895</v>
      </c>
      <c r="F24" s="19">
        <v>10453.388000000001</v>
      </c>
      <c r="G24" s="19">
        <v>10443.794</v>
      </c>
      <c r="H24" s="19">
        <v>10395.355</v>
      </c>
      <c r="I24" s="19">
        <v>11042.754000000001</v>
      </c>
      <c r="J24" s="19">
        <v>9993.6239999999998</v>
      </c>
      <c r="K24" s="19">
        <v>10606.934999999999</v>
      </c>
      <c r="L24" s="19">
        <v>10173</v>
      </c>
      <c r="M24" s="17">
        <f t="shared" si="3"/>
        <v>10257.853000000001</v>
      </c>
      <c r="N24" s="17">
        <f t="shared" si="4"/>
        <v>10907</v>
      </c>
      <c r="O24" s="17">
        <f t="shared" si="4"/>
        <v>10753</v>
      </c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>
        <v>20</v>
      </c>
      <c r="B25" s="94" t="s">
        <v>457</v>
      </c>
      <c r="C25" s="19">
        <v>20730</v>
      </c>
      <c r="D25" s="19">
        <v>23506</v>
      </c>
      <c r="E25" s="19">
        <v>23267</v>
      </c>
      <c r="F25" s="19">
        <v>26284.371999999999</v>
      </c>
      <c r="G25" s="19">
        <v>27073.942999999999</v>
      </c>
      <c r="H25" s="19">
        <v>33078.33</v>
      </c>
      <c r="I25" s="19">
        <v>32070.373</v>
      </c>
      <c r="J25" s="19">
        <v>30182.232</v>
      </c>
      <c r="K25" s="19">
        <v>29971.494999999999</v>
      </c>
      <c r="L25" s="19">
        <v>27901</v>
      </c>
      <c r="M25" s="17">
        <f t="shared" si="3"/>
        <v>29351.575666666668</v>
      </c>
      <c r="N25" s="17">
        <f t="shared" si="4"/>
        <v>31208</v>
      </c>
      <c r="O25" s="17">
        <f t="shared" si="4"/>
        <v>30770</v>
      </c>
      <c r="P25" s="17"/>
      <c r="Q25" s="17"/>
      <c r="R25" s="17"/>
      <c r="S25" s="17"/>
    </row>
    <row r="26" spans="1:24">
      <c r="A26">
        <v>21</v>
      </c>
      <c r="B26" s="6" t="s">
        <v>458</v>
      </c>
      <c r="C26" s="19">
        <v>8744</v>
      </c>
      <c r="D26" s="19">
        <v>8655</v>
      </c>
      <c r="E26" s="19">
        <v>8486</v>
      </c>
      <c r="F26" s="19">
        <v>8969.9419999999991</v>
      </c>
      <c r="G26" s="19">
        <v>9553.9359999999997</v>
      </c>
      <c r="H26" s="19">
        <v>9425.9809999999998</v>
      </c>
      <c r="I26" s="19">
        <v>10662.237999999999</v>
      </c>
      <c r="J26" s="19">
        <v>10493.39</v>
      </c>
      <c r="K26" s="19">
        <v>10810.342000000001</v>
      </c>
      <c r="L26" s="19">
        <v>12523</v>
      </c>
      <c r="M26" s="17">
        <f t="shared" si="3"/>
        <v>11275.577333333335</v>
      </c>
      <c r="N26" s="17">
        <f t="shared" si="4"/>
        <v>11989</v>
      </c>
      <c r="O26" s="17">
        <f t="shared" si="4"/>
        <v>11820</v>
      </c>
      <c r="P26" s="17"/>
      <c r="Q26" s="17"/>
      <c r="R26" s="17"/>
      <c r="S26" s="17"/>
    </row>
    <row r="27" spans="1:24">
      <c r="A27">
        <v>22</v>
      </c>
      <c r="B27" s="94" t="s">
        <v>459</v>
      </c>
      <c r="C27" s="19">
        <v>8507</v>
      </c>
      <c r="D27" s="19">
        <v>8609</v>
      </c>
      <c r="E27" s="19">
        <v>9199</v>
      </c>
      <c r="F27" s="19">
        <v>11012.116</v>
      </c>
      <c r="G27" s="19">
        <v>11855.739</v>
      </c>
      <c r="H27" s="19">
        <v>12652.049000000001</v>
      </c>
      <c r="I27" s="19">
        <v>12840.923000000001</v>
      </c>
      <c r="J27" s="19">
        <v>17829.258000000002</v>
      </c>
      <c r="K27" s="19">
        <v>11532.102999999999</v>
      </c>
      <c r="L27" s="19">
        <v>11960</v>
      </c>
      <c r="M27" s="17">
        <f t="shared" si="3"/>
        <v>13773.787000000002</v>
      </c>
      <c r="N27" s="17">
        <f t="shared" si="4"/>
        <v>14645</v>
      </c>
      <c r="O27" s="17">
        <f t="shared" si="4"/>
        <v>14439</v>
      </c>
      <c r="P27" s="17"/>
      <c r="Q27" s="17"/>
      <c r="R27" s="17"/>
      <c r="S27" s="17"/>
    </row>
    <row r="28" spans="1:24">
      <c r="A28">
        <v>23</v>
      </c>
      <c r="B28" s="94" t="s">
        <v>460</v>
      </c>
      <c r="C28" s="19">
        <v>5878</v>
      </c>
      <c r="D28" s="19">
        <v>7395</v>
      </c>
      <c r="E28" s="19">
        <v>5322</v>
      </c>
      <c r="F28" s="19">
        <v>7282.6189999999997</v>
      </c>
      <c r="G28" s="19">
        <v>6318.7449999999999</v>
      </c>
      <c r="H28" s="19">
        <v>6751.6329999999998</v>
      </c>
      <c r="I28" s="19">
        <v>7079.4830000000002</v>
      </c>
      <c r="J28" s="19">
        <v>7686.8810000000003</v>
      </c>
      <c r="K28" s="19">
        <v>7546.259</v>
      </c>
      <c r="L28" s="19">
        <v>7810</v>
      </c>
      <c r="M28" s="17">
        <f t="shared" si="3"/>
        <v>7681.0466666666662</v>
      </c>
      <c r="N28" s="17">
        <f t="shared" si="4"/>
        <v>8167</v>
      </c>
      <c r="O28" s="17">
        <f t="shared" si="4"/>
        <v>8052</v>
      </c>
      <c r="P28" s="17"/>
      <c r="Q28" s="17"/>
      <c r="R28" s="17"/>
      <c r="S28" s="17"/>
    </row>
    <row r="29" spans="1:24">
      <c r="A29">
        <v>24</v>
      </c>
      <c r="B29" s="94" t="s">
        <v>461</v>
      </c>
      <c r="C29" s="19">
        <v>2101</v>
      </c>
      <c r="D29" s="19">
        <v>2245</v>
      </c>
      <c r="E29" s="19">
        <v>2133</v>
      </c>
      <c r="F29" s="19">
        <v>2207.2910000000002</v>
      </c>
      <c r="G29" s="19">
        <v>2270.0740000000001</v>
      </c>
      <c r="H29" s="19">
        <v>2342.4079999999999</v>
      </c>
      <c r="I29" s="19">
        <v>2446.5590000000002</v>
      </c>
      <c r="J29" s="19">
        <v>2281.2080000000001</v>
      </c>
      <c r="K29" s="19">
        <v>2569.0709999999999</v>
      </c>
      <c r="L29" s="19">
        <v>2469</v>
      </c>
      <c r="M29" s="17">
        <f t="shared" si="3"/>
        <v>2439.7596666666668</v>
      </c>
      <c r="N29" s="17">
        <f t="shared" si="4"/>
        <v>2594</v>
      </c>
      <c r="O29" s="17">
        <f t="shared" si="4"/>
        <v>2558</v>
      </c>
      <c r="P29" s="17"/>
      <c r="Q29" s="17"/>
      <c r="R29" s="17"/>
      <c r="S29" s="17"/>
    </row>
    <row r="30" spans="1:24">
      <c r="A30">
        <v>25</v>
      </c>
      <c r="B30" s="94" t="s">
        <v>462</v>
      </c>
      <c r="C30" s="19">
        <v>14421</v>
      </c>
      <c r="D30" s="19">
        <v>18611</v>
      </c>
      <c r="E30" s="19">
        <v>20176</v>
      </c>
      <c r="F30" s="19">
        <v>19298.058000000001</v>
      </c>
      <c r="G30" s="19">
        <v>15321.583000000001</v>
      </c>
      <c r="H30" s="19">
        <v>15517.857</v>
      </c>
      <c r="I30" s="19">
        <v>16042.393</v>
      </c>
      <c r="J30" s="19">
        <v>15460.629000000001</v>
      </c>
      <c r="K30" s="19">
        <v>11238.129000000001</v>
      </c>
      <c r="L30" s="19">
        <v>16352</v>
      </c>
      <c r="M30" s="17">
        <f t="shared" si="3"/>
        <v>14350.252666666667</v>
      </c>
      <c r="N30" s="17">
        <f t="shared" si="4"/>
        <v>15258</v>
      </c>
      <c r="O30" s="17">
        <f t="shared" si="4"/>
        <v>15044</v>
      </c>
      <c r="P30" s="17"/>
      <c r="Q30" s="17"/>
      <c r="R30" s="17"/>
      <c r="S30" s="17"/>
    </row>
    <row r="31" spans="1:24">
      <c r="A31">
        <v>26</v>
      </c>
      <c r="B31" s="94" t="s">
        <v>463</v>
      </c>
      <c r="C31" s="19">
        <v>8496</v>
      </c>
      <c r="D31" s="19">
        <v>9489</v>
      </c>
      <c r="E31" s="19">
        <v>10404</v>
      </c>
      <c r="F31" s="19">
        <v>10716.415000000001</v>
      </c>
      <c r="G31" s="19">
        <v>11257.038</v>
      </c>
      <c r="H31" s="19">
        <v>13468.704</v>
      </c>
      <c r="I31" s="19">
        <v>13031.973</v>
      </c>
      <c r="J31" s="19">
        <v>11861.566999999999</v>
      </c>
      <c r="K31" s="19">
        <v>6196.8540000000003</v>
      </c>
      <c r="L31" s="19">
        <v>14352</v>
      </c>
      <c r="M31" s="17">
        <f t="shared" si="3"/>
        <v>10803.473666666667</v>
      </c>
      <c r="N31" s="17">
        <f t="shared" si="4"/>
        <v>11487</v>
      </c>
      <c r="O31" s="17">
        <f t="shared" si="4"/>
        <v>11325</v>
      </c>
      <c r="P31" s="17"/>
      <c r="Q31" s="17"/>
      <c r="R31" s="17"/>
      <c r="S31" s="17"/>
    </row>
    <row r="32" spans="1:24">
      <c r="A32">
        <v>27</v>
      </c>
      <c r="B32" t="s">
        <v>464</v>
      </c>
      <c r="C32" s="19">
        <v>18761</v>
      </c>
      <c r="D32" s="19">
        <v>21185</v>
      </c>
      <c r="E32" s="19">
        <v>20769</v>
      </c>
      <c r="F32" s="19">
        <v>21466.67</v>
      </c>
      <c r="G32" s="19">
        <v>22990.245999999999</v>
      </c>
      <c r="H32" s="19">
        <v>22666.115000000002</v>
      </c>
      <c r="I32" s="19">
        <v>23345.72</v>
      </c>
      <c r="J32" s="19">
        <v>22453.19</v>
      </c>
      <c r="K32" s="19">
        <v>26177.207999999999</v>
      </c>
      <c r="L32" s="19">
        <v>22700</v>
      </c>
      <c r="M32" s="17">
        <f t="shared" si="3"/>
        <v>23776.799333333332</v>
      </c>
      <c r="N32" s="17">
        <f t="shared" si="4"/>
        <v>25280</v>
      </c>
      <c r="O32" s="17">
        <f t="shared" si="4"/>
        <v>24926</v>
      </c>
      <c r="P32" s="17"/>
      <c r="Q32" s="17"/>
      <c r="R32" s="17"/>
      <c r="S32" s="17"/>
    </row>
    <row r="33" spans="1:19">
      <c r="A33">
        <v>28</v>
      </c>
      <c r="B33" t="s">
        <v>465</v>
      </c>
      <c r="C33" s="19">
        <v>16964</v>
      </c>
      <c r="D33" s="19">
        <v>18427</v>
      </c>
      <c r="E33" s="19">
        <v>18275</v>
      </c>
      <c r="F33" s="19">
        <v>19375.357</v>
      </c>
      <c r="G33" s="19">
        <v>22148.187000000002</v>
      </c>
      <c r="H33" s="19">
        <v>22006.71</v>
      </c>
      <c r="I33" s="201">
        <v>23761.282999999999</v>
      </c>
      <c r="J33" s="201">
        <v>23807.362000000001</v>
      </c>
      <c r="K33" s="201">
        <v>27201.607</v>
      </c>
      <c r="L33" s="201">
        <v>23120</v>
      </c>
      <c r="M33" s="18">
        <f t="shared" si="3"/>
        <v>24709.656333333332</v>
      </c>
      <c r="N33" s="18">
        <f t="shared" si="4"/>
        <v>26272</v>
      </c>
      <c r="O33" s="18">
        <f t="shared" si="4"/>
        <v>25903</v>
      </c>
      <c r="P33" s="17"/>
      <c r="Q33" s="17"/>
      <c r="R33" s="17"/>
      <c r="S33" s="17"/>
    </row>
    <row r="34" spans="1:19">
      <c r="A34">
        <v>29</v>
      </c>
      <c r="B34" s="9" t="s">
        <v>466</v>
      </c>
      <c r="C34" s="17"/>
      <c r="D34" s="17"/>
      <c r="E34" s="17"/>
      <c r="F34" s="17"/>
      <c r="G34" s="17">
        <f t="shared" ref="G34:M34" si="5">SUM(G16:G33)</f>
        <v>228518.54500000001</v>
      </c>
      <c r="H34" s="17">
        <f t="shared" si="5"/>
        <v>236103.93499999997</v>
      </c>
      <c r="I34" s="17">
        <f t="shared" si="5"/>
        <v>244890.94700000004</v>
      </c>
      <c r="J34" s="19">
        <f>SUM(J16:J33)</f>
        <v>243692.09500000003</v>
      </c>
      <c r="K34" s="19">
        <f t="shared" si="5"/>
        <v>250671.65599999999</v>
      </c>
      <c r="L34" s="19">
        <f t="shared" si="5"/>
        <v>238745</v>
      </c>
      <c r="M34" s="19">
        <f t="shared" si="5"/>
        <v>244369.5836666667</v>
      </c>
      <c r="N34" s="17">
        <f>+'IPR Data'!C6/1000+'IPR Data'!C86</f>
        <v>259822.53983000002</v>
      </c>
      <c r="O34" s="17">
        <f>+'IPR Data'!D6/1000+'IPR Data'!D86</f>
        <v>256175.75383000003</v>
      </c>
      <c r="P34" s="17"/>
      <c r="Q34" s="17"/>
      <c r="R34" s="17"/>
      <c r="S34" s="17"/>
    </row>
    <row r="35" spans="1:19" hidden="1">
      <c r="M35" t="s">
        <v>448</v>
      </c>
      <c r="N35" s="17">
        <f>SUM(N16:N33)</f>
        <v>259825</v>
      </c>
      <c r="O35" s="17">
        <f>SUM(O16:O33)</f>
        <v>256176</v>
      </c>
    </row>
    <row r="38" spans="1:19">
      <c r="B38" s="25"/>
    </row>
    <row r="39" spans="1:19">
      <c r="N39" s="5"/>
      <c r="O39" s="5"/>
      <c r="Q39" s="17"/>
      <c r="R39" s="17"/>
      <c r="S39" s="17"/>
    </row>
    <row r="40" spans="1:19">
      <c r="B40" t="s">
        <v>467</v>
      </c>
      <c r="N40" s="5"/>
      <c r="O40" s="5"/>
    </row>
    <row r="41" spans="1:19">
      <c r="N41" s="5"/>
      <c r="O41" s="5"/>
    </row>
    <row r="42" spans="1:19">
      <c r="N42" s="5"/>
      <c r="O42" s="5"/>
      <c r="Q42" s="17"/>
      <c r="R42" s="17"/>
      <c r="S42" s="17"/>
    </row>
    <row r="43" spans="1:19">
      <c r="N43" s="5"/>
      <c r="O43" s="5"/>
      <c r="Q43" s="17"/>
      <c r="R43" s="17"/>
      <c r="S43" s="17"/>
    </row>
    <row r="44" spans="1:19">
      <c r="N44" s="5"/>
      <c r="O44" s="5"/>
      <c r="P44" s="17"/>
      <c r="Q44" s="17"/>
      <c r="R44" s="17"/>
      <c r="S44" s="17"/>
    </row>
    <row r="46" spans="1:19">
      <c r="N46" s="17"/>
      <c r="O46" s="17"/>
    </row>
    <row r="47" spans="1:19">
      <c r="N47" s="12"/>
      <c r="O47" s="12"/>
    </row>
  </sheetData>
  <mergeCells count="2">
    <mergeCell ref="B1:O1"/>
    <mergeCell ref="B2:O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7" tint="-0.249977111117893"/>
  </sheetPr>
  <dimension ref="A1:AU14"/>
  <sheetViews>
    <sheetView workbookViewId="0">
      <selection activeCell="AE33" sqref="AE33"/>
    </sheetView>
  </sheetViews>
  <sheetFormatPr defaultRowHeight="12.75"/>
  <cols>
    <col min="1" max="1" width="4.28515625" customWidth="1"/>
    <col min="2" max="2" width="36.42578125" customWidth="1"/>
    <col min="3" max="3" width="11.7109375" customWidth="1"/>
    <col min="4" max="4" width="11.5703125" customWidth="1"/>
    <col min="5" max="5" width="7.85546875" customWidth="1"/>
    <col min="6" max="6" width="8.7109375" customWidth="1"/>
    <col min="7" max="7" width="3.85546875" customWidth="1"/>
    <col min="10" max="10" width="10.140625" customWidth="1"/>
    <col min="11" max="11" width="10.7109375" customWidth="1"/>
    <col min="12" max="30" width="9.140625" hidden="1" customWidth="1"/>
    <col min="31" max="31" width="9.140625" customWidth="1"/>
  </cols>
  <sheetData>
    <row r="1" spans="1:47">
      <c r="A1" s="397" t="s">
        <v>356</v>
      </c>
      <c r="B1" s="397"/>
      <c r="C1" s="397"/>
      <c r="D1" s="397"/>
      <c r="H1" s="394" t="s">
        <v>357</v>
      </c>
      <c r="I1" s="394"/>
      <c r="J1" s="394"/>
      <c r="K1" s="394"/>
      <c r="L1" s="394"/>
      <c r="M1" s="394"/>
      <c r="N1" s="394"/>
      <c r="O1" s="394"/>
      <c r="P1" s="394"/>
      <c r="Q1" s="394"/>
    </row>
    <row r="2" spans="1:47">
      <c r="A2" s="398" t="s">
        <v>249</v>
      </c>
      <c r="B2" s="398"/>
      <c r="C2" s="398"/>
      <c r="D2" s="398"/>
      <c r="E2" s="80"/>
      <c r="H2" s="394" t="s">
        <v>358</v>
      </c>
      <c r="I2" s="394"/>
      <c r="J2" s="394"/>
      <c r="K2" s="394"/>
      <c r="L2" s="394"/>
      <c r="M2" s="394"/>
      <c r="N2" s="394"/>
      <c r="O2" s="394"/>
      <c r="P2" s="394"/>
      <c r="Q2" s="394"/>
    </row>
    <row r="3" spans="1:47">
      <c r="A3" s="189"/>
      <c r="B3" s="189"/>
      <c r="C3" s="189"/>
      <c r="D3" s="189"/>
      <c r="H3" s="394" t="s">
        <v>353</v>
      </c>
      <c r="I3" s="394"/>
      <c r="J3" s="394"/>
      <c r="K3" s="394"/>
      <c r="L3" s="394"/>
      <c r="M3" s="394"/>
      <c r="N3" s="394"/>
      <c r="O3" s="394"/>
      <c r="P3" s="394"/>
      <c r="Q3" s="394"/>
    </row>
    <row r="4" spans="1:47">
      <c r="A4" s="189"/>
      <c r="B4" s="189"/>
      <c r="C4" s="190">
        <f>+Sheet1!C6</f>
        <v>0</v>
      </c>
      <c r="D4" s="220">
        <f>+Sheet1!D6</f>
        <v>0</v>
      </c>
    </row>
    <row r="5" spans="1:47">
      <c r="A5" s="189">
        <v>1</v>
      </c>
      <c r="B5" s="191" t="s">
        <v>359</v>
      </c>
      <c r="C5" s="192">
        <f>AVERAGE(AE12:AF12)</f>
        <v>5597.5</v>
      </c>
      <c r="D5" s="192">
        <f>AVERAGE(AF12:AG12)</f>
        <v>5494.5</v>
      </c>
      <c r="E5" s="27"/>
      <c r="J5" s="29" t="s">
        <v>360</v>
      </c>
    </row>
    <row r="6" spans="1:47">
      <c r="A6" s="189">
        <v>2</v>
      </c>
      <c r="B6" s="189" t="s">
        <v>361</v>
      </c>
      <c r="C6" s="192">
        <f>+Sheet1!C44</f>
        <v>0</v>
      </c>
      <c r="D6" s="192">
        <f>+Sheet1!D44</f>
        <v>0</v>
      </c>
      <c r="E6" s="27"/>
      <c r="J6" s="29" t="s">
        <v>362</v>
      </c>
      <c r="K6" s="29" t="s">
        <v>363</v>
      </c>
      <c r="L6" s="394" t="s">
        <v>364</v>
      </c>
      <c r="M6" s="394"/>
      <c r="N6" s="394"/>
      <c r="O6" s="394"/>
      <c r="P6" s="394"/>
      <c r="Q6" s="394"/>
      <c r="AE6" s="16" t="s">
        <v>667</v>
      </c>
    </row>
    <row r="7" spans="1:47">
      <c r="A7" s="189">
        <v>3</v>
      </c>
      <c r="B7" s="193" t="s">
        <v>365</v>
      </c>
      <c r="C7" s="194" t="e">
        <f>C5/C6</f>
        <v>#DIV/0!</v>
      </c>
      <c r="D7" s="194" t="e">
        <f>D5/D6</f>
        <v>#DIV/0!</v>
      </c>
      <c r="E7" s="11"/>
      <c r="H7" s="29" t="s">
        <v>366</v>
      </c>
      <c r="I7" s="29" t="s">
        <v>367</v>
      </c>
      <c r="J7" s="81">
        <v>1999</v>
      </c>
      <c r="K7" s="29" t="s">
        <v>368</v>
      </c>
      <c r="L7" s="29">
        <v>2000</v>
      </c>
      <c r="M7" s="29">
        <f>L7+1</f>
        <v>2001</v>
      </c>
      <c r="N7" s="29">
        <f t="shared" ref="N7:W7" si="0">M7+1</f>
        <v>2002</v>
      </c>
      <c r="O7" s="29">
        <f t="shared" si="0"/>
        <v>2003</v>
      </c>
      <c r="P7" s="29">
        <f t="shared" si="0"/>
        <v>2004</v>
      </c>
      <c r="Q7" s="29">
        <f t="shared" si="0"/>
        <v>2005</v>
      </c>
      <c r="R7" s="29">
        <f t="shared" si="0"/>
        <v>2006</v>
      </c>
      <c r="S7" s="29">
        <f t="shared" si="0"/>
        <v>2007</v>
      </c>
      <c r="T7" s="29">
        <f t="shared" si="0"/>
        <v>2008</v>
      </c>
      <c r="U7" s="29">
        <f t="shared" si="0"/>
        <v>2009</v>
      </c>
      <c r="V7" s="29">
        <f t="shared" si="0"/>
        <v>2010</v>
      </c>
      <c r="W7" s="29">
        <f t="shared" si="0"/>
        <v>2011</v>
      </c>
      <c r="X7" s="29">
        <f t="shared" ref="X7:AC7" si="1">W7+1</f>
        <v>2012</v>
      </c>
      <c r="Y7" s="29">
        <f t="shared" si="1"/>
        <v>2013</v>
      </c>
      <c r="Z7" s="29">
        <f t="shared" si="1"/>
        <v>2014</v>
      </c>
      <c r="AA7" s="29">
        <f t="shared" si="1"/>
        <v>2015</v>
      </c>
      <c r="AB7" s="95">
        <f t="shared" si="1"/>
        <v>2016</v>
      </c>
      <c r="AC7" s="95">
        <f t="shared" si="1"/>
        <v>2017</v>
      </c>
      <c r="AD7" s="120">
        <f t="shared" ref="AD7" si="2">AC7+1</f>
        <v>2018</v>
      </c>
      <c r="AE7" s="120">
        <f t="shared" ref="AE7" si="3">AD7+1</f>
        <v>2019</v>
      </c>
      <c r="AF7" s="120">
        <f t="shared" ref="AF7" si="4">AE7+1</f>
        <v>2020</v>
      </c>
      <c r="AG7" s="120">
        <f t="shared" ref="AG7" si="5">AF7+1</f>
        <v>2021</v>
      </c>
      <c r="AH7" s="120">
        <f t="shared" ref="AH7" si="6">AG7+1</f>
        <v>2022</v>
      </c>
      <c r="AI7" s="120">
        <f t="shared" ref="AI7" si="7">AH7+1</f>
        <v>2023</v>
      </c>
      <c r="AJ7" s="120">
        <f t="shared" ref="AJ7" si="8">AI7+1</f>
        <v>2024</v>
      </c>
      <c r="AK7" s="120">
        <f t="shared" ref="AK7" si="9">AJ7+1</f>
        <v>2025</v>
      </c>
      <c r="AL7" s="169">
        <f t="shared" ref="AL7" si="10">AK7+1</f>
        <v>2026</v>
      </c>
      <c r="AM7" s="169">
        <f t="shared" ref="AM7" si="11">AL7+1</f>
        <v>2027</v>
      </c>
      <c r="AN7" s="169">
        <f t="shared" ref="AN7" si="12">AM7+1</f>
        <v>2028</v>
      </c>
      <c r="AO7" s="169">
        <f t="shared" ref="AO7" si="13">AN7+1</f>
        <v>2029</v>
      </c>
      <c r="AP7" s="169">
        <f t="shared" ref="AP7" si="14">AO7+1</f>
        <v>2030</v>
      </c>
      <c r="AQ7" s="169">
        <f t="shared" ref="AQ7" si="15">AP7+1</f>
        <v>2031</v>
      </c>
      <c r="AR7" s="169">
        <f t="shared" ref="AR7" si="16">AQ7+1</f>
        <v>2032</v>
      </c>
      <c r="AS7" s="169">
        <f t="shared" ref="AS7" si="17">AR7+1</f>
        <v>2033</v>
      </c>
      <c r="AT7" s="169">
        <f t="shared" ref="AT7" si="18">AS7+1</f>
        <v>2034</v>
      </c>
      <c r="AU7" s="169">
        <f t="shared" ref="AU7" si="19">AT7+1</f>
        <v>2035</v>
      </c>
    </row>
    <row r="8" spans="1:47">
      <c r="A8" s="189">
        <v>4</v>
      </c>
      <c r="B8" s="195" t="s">
        <v>369</v>
      </c>
      <c r="C8" s="192">
        <f>+COSA!C12</f>
        <v>26159.66324355108</v>
      </c>
      <c r="D8" s="192">
        <f>+COSA!C58</f>
        <v>22707.810101481638</v>
      </c>
      <c r="E8" s="27"/>
      <c r="G8">
        <v>1</v>
      </c>
      <c r="H8" s="82">
        <v>75</v>
      </c>
      <c r="I8" t="s">
        <v>354</v>
      </c>
      <c r="J8" s="5">
        <f>3776+ROUND(3776/(3776+3583)*350,0)</f>
        <v>3956</v>
      </c>
      <c r="K8" s="5">
        <f>ROUND(J8/H8,0)</f>
        <v>53</v>
      </c>
      <c r="L8" s="5">
        <f>K8</f>
        <v>53</v>
      </c>
      <c r="M8" s="5">
        <f>L8+$K8</f>
        <v>106</v>
      </c>
      <c r="N8" s="5">
        <f t="shared" ref="N8:AA9" si="20">M8+$K8</f>
        <v>159</v>
      </c>
      <c r="O8" s="5">
        <f t="shared" si="20"/>
        <v>212</v>
      </c>
      <c r="P8" s="5">
        <f t="shared" si="20"/>
        <v>265</v>
      </c>
      <c r="Q8" s="5">
        <f t="shared" si="20"/>
        <v>318</v>
      </c>
      <c r="R8" s="5">
        <f t="shared" si="20"/>
        <v>371</v>
      </c>
      <c r="S8" s="5">
        <f t="shared" si="20"/>
        <v>424</v>
      </c>
      <c r="T8" s="5">
        <f t="shared" si="20"/>
        <v>477</v>
      </c>
      <c r="U8" s="5">
        <f t="shared" si="20"/>
        <v>530</v>
      </c>
      <c r="V8" s="5">
        <f t="shared" si="20"/>
        <v>583</v>
      </c>
      <c r="W8" s="5">
        <f t="shared" si="20"/>
        <v>636</v>
      </c>
      <c r="X8" s="5">
        <f>W8+$K8</f>
        <v>689</v>
      </c>
      <c r="Y8" s="5">
        <f t="shared" si="20"/>
        <v>742</v>
      </c>
      <c r="Z8" s="5">
        <f t="shared" si="20"/>
        <v>795</v>
      </c>
      <c r="AA8" s="5">
        <f>Z8+$K8</f>
        <v>848</v>
      </c>
      <c r="AB8" s="5">
        <f>AA8+$K8</f>
        <v>901</v>
      </c>
      <c r="AC8" s="5">
        <f t="shared" ref="AB8:AC9" si="21">AB8+$K8</f>
        <v>954</v>
      </c>
      <c r="AD8" s="5">
        <f t="shared" ref="AD8" si="22">AC8+$K8</f>
        <v>1007</v>
      </c>
      <c r="AE8" s="5">
        <f>AD8+$K8</f>
        <v>1060</v>
      </c>
      <c r="AF8" s="5">
        <f>AE8+$K8</f>
        <v>1113</v>
      </c>
      <c r="AG8" s="5">
        <f t="shared" ref="AG8" si="23">AF8+$K8</f>
        <v>1166</v>
      </c>
      <c r="AH8" s="5">
        <f t="shared" ref="AH8" si="24">AG8+$K8</f>
        <v>1219</v>
      </c>
      <c r="AI8" s="5">
        <f t="shared" ref="AI8" si="25">AH8+$K8</f>
        <v>1272</v>
      </c>
      <c r="AJ8" s="5">
        <f t="shared" ref="AJ8" si="26">AI8+$K8</f>
        <v>1325</v>
      </c>
      <c r="AK8" s="5">
        <f t="shared" ref="AK8" si="27">AJ8+$K8</f>
        <v>1378</v>
      </c>
      <c r="AL8" s="5">
        <f t="shared" ref="AL8:AL9" si="28">AK8+$K8</f>
        <v>1431</v>
      </c>
      <c r="AM8" s="5">
        <f t="shared" ref="AM8:AM9" si="29">AL8+$K8</f>
        <v>1484</v>
      </c>
      <c r="AN8" s="5">
        <f t="shared" ref="AN8:AN9" si="30">AM8+$K8</f>
        <v>1537</v>
      </c>
      <c r="AO8" s="5">
        <f t="shared" ref="AO8:AO9" si="31">AN8+$K8</f>
        <v>1590</v>
      </c>
      <c r="AP8" s="5">
        <f t="shared" ref="AP8:AP9" si="32">AO8+$K8</f>
        <v>1643</v>
      </c>
      <c r="AQ8" s="5">
        <f t="shared" ref="AQ8:AQ9" si="33">AP8+$K8</f>
        <v>1696</v>
      </c>
      <c r="AR8" s="5">
        <f t="shared" ref="AR8:AR9" si="34">AQ8+$K8</f>
        <v>1749</v>
      </c>
      <c r="AS8" s="5">
        <f t="shared" ref="AS8:AS9" si="35">AR8+$K8</f>
        <v>1802</v>
      </c>
      <c r="AT8" s="5">
        <f t="shared" ref="AT8:AT9" si="36">AS8+$K8</f>
        <v>1855</v>
      </c>
      <c r="AU8" s="5">
        <f t="shared" ref="AU8:AU9" si="37">AT8+$K8</f>
        <v>1908</v>
      </c>
    </row>
    <row r="9" spans="1:47">
      <c r="A9" s="189">
        <v>5</v>
      </c>
      <c r="B9" s="193" t="s">
        <v>370</v>
      </c>
      <c r="C9" s="192" t="e">
        <f>ROUND(C8*C$7,0)</f>
        <v>#DIV/0!</v>
      </c>
      <c r="D9" s="192" t="e">
        <f>ROUND(D8*D$7,0)</f>
        <v>#DIV/0!</v>
      </c>
      <c r="E9" s="27"/>
      <c r="G9">
        <v>2</v>
      </c>
      <c r="H9" s="82">
        <v>75</v>
      </c>
      <c r="I9" t="s">
        <v>355</v>
      </c>
      <c r="J9" s="5">
        <f>7709-J8</f>
        <v>3753</v>
      </c>
      <c r="K9" s="5">
        <f>ROUND(J9/H9,0)</f>
        <v>50</v>
      </c>
      <c r="L9" s="5">
        <f>K9</f>
        <v>50</v>
      </c>
      <c r="M9" s="5">
        <f>L9+$K9</f>
        <v>100</v>
      </c>
      <c r="N9" s="5">
        <f t="shared" si="20"/>
        <v>150</v>
      </c>
      <c r="O9" s="5">
        <f t="shared" si="20"/>
        <v>200</v>
      </c>
      <c r="P9" s="5">
        <f t="shared" si="20"/>
        <v>250</v>
      </c>
      <c r="Q9" s="5">
        <f t="shared" si="20"/>
        <v>300</v>
      </c>
      <c r="R9" s="5">
        <f t="shared" si="20"/>
        <v>350</v>
      </c>
      <c r="S9" s="5">
        <f t="shared" si="20"/>
        <v>400</v>
      </c>
      <c r="T9" s="5">
        <f t="shared" si="20"/>
        <v>450</v>
      </c>
      <c r="U9" s="5">
        <f t="shared" si="20"/>
        <v>500</v>
      </c>
      <c r="V9" s="5">
        <f t="shared" si="20"/>
        <v>550</v>
      </c>
      <c r="W9" s="5">
        <f t="shared" si="20"/>
        <v>600</v>
      </c>
      <c r="X9" s="5">
        <f>W9+$K9</f>
        <v>650</v>
      </c>
      <c r="Y9" s="5">
        <f t="shared" si="20"/>
        <v>700</v>
      </c>
      <c r="Z9" s="5">
        <f t="shared" si="20"/>
        <v>750</v>
      </c>
      <c r="AA9" s="5">
        <f t="shared" si="20"/>
        <v>800</v>
      </c>
      <c r="AB9" s="5">
        <f t="shared" si="21"/>
        <v>850</v>
      </c>
      <c r="AC9" s="5">
        <f t="shared" si="21"/>
        <v>900</v>
      </c>
      <c r="AD9" s="5">
        <f t="shared" ref="AD9" si="38">AC9+$K9</f>
        <v>950</v>
      </c>
      <c r="AE9" s="5">
        <f>AD9+$K9</f>
        <v>1000</v>
      </c>
      <c r="AF9" s="5">
        <f t="shared" ref="AF9" si="39">AE9+$K9</f>
        <v>1050</v>
      </c>
      <c r="AG9" s="5">
        <f t="shared" ref="AG9" si="40">AF9+$K9</f>
        <v>1100</v>
      </c>
      <c r="AH9" s="5">
        <f t="shared" ref="AH9" si="41">AG9+$K9</f>
        <v>1150</v>
      </c>
      <c r="AI9" s="5">
        <f t="shared" ref="AI9" si="42">AH9+$K9</f>
        <v>1200</v>
      </c>
      <c r="AJ9" s="5">
        <f t="shared" ref="AJ9" si="43">AI9+$K9</f>
        <v>1250</v>
      </c>
      <c r="AK9" s="5">
        <f t="shared" ref="AK9" si="44">AJ9+$K9</f>
        <v>1300</v>
      </c>
      <c r="AL9" s="5">
        <f t="shared" si="28"/>
        <v>1350</v>
      </c>
      <c r="AM9" s="5">
        <f t="shared" si="29"/>
        <v>1400</v>
      </c>
      <c r="AN9" s="5">
        <f t="shared" si="30"/>
        <v>1450</v>
      </c>
      <c r="AO9" s="5">
        <f t="shared" si="31"/>
        <v>1500</v>
      </c>
      <c r="AP9" s="5">
        <f t="shared" si="32"/>
        <v>1550</v>
      </c>
      <c r="AQ9" s="5">
        <f t="shared" si="33"/>
        <v>1600</v>
      </c>
      <c r="AR9" s="5">
        <f t="shared" si="34"/>
        <v>1650</v>
      </c>
      <c r="AS9" s="5">
        <f t="shared" si="35"/>
        <v>1700</v>
      </c>
      <c r="AT9" s="5">
        <f t="shared" si="36"/>
        <v>1750</v>
      </c>
      <c r="AU9" s="5">
        <f t="shared" si="37"/>
        <v>1800</v>
      </c>
    </row>
    <row r="10" spans="1:47">
      <c r="A10" s="189">
        <v>6</v>
      </c>
      <c r="B10" s="195" t="s">
        <v>371</v>
      </c>
      <c r="C10" s="192">
        <f>COSA!D12*'Corps Rec Transmission'!C22</f>
        <v>54420.074691947528</v>
      </c>
      <c r="D10" s="192">
        <f>+COSA!D58*'Corps Rec Transmission'!F22</f>
        <v>86372.888820170658</v>
      </c>
      <c r="E10" s="27"/>
      <c r="G10">
        <v>3</v>
      </c>
      <c r="J10" s="10">
        <f>SUM(J8:J9)</f>
        <v>7709</v>
      </c>
      <c r="K10" s="83">
        <f>SUM(K8:K9)</f>
        <v>103</v>
      </c>
      <c r="L10" s="5">
        <f>SUM(L8:L9)</f>
        <v>103</v>
      </c>
      <c r="M10" s="5">
        <f>SUM(M8:M9)</f>
        <v>206</v>
      </c>
      <c r="N10" s="5">
        <f t="shared" ref="N10:W10" si="45">SUM(N8:N9)</f>
        <v>309</v>
      </c>
      <c r="O10" s="5">
        <f t="shared" si="45"/>
        <v>412</v>
      </c>
      <c r="P10" s="5">
        <f t="shared" si="45"/>
        <v>515</v>
      </c>
      <c r="Q10" s="5">
        <f t="shared" si="45"/>
        <v>618</v>
      </c>
      <c r="R10" s="5">
        <f t="shared" si="45"/>
        <v>721</v>
      </c>
      <c r="S10" s="5">
        <f t="shared" si="45"/>
        <v>824</v>
      </c>
      <c r="T10" s="5">
        <f t="shared" si="45"/>
        <v>927</v>
      </c>
      <c r="U10" s="5">
        <f t="shared" si="45"/>
        <v>1030</v>
      </c>
      <c r="V10" s="5">
        <f t="shared" si="45"/>
        <v>1133</v>
      </c>
      <c r="W10" s="5">
        <f t="shared" si="45"/>
        <v>1236</v>
      </c>
      <c r="X10" s="5">
        <f>SUM(X8:X9)</f>
        <v>1339</v>
      </c>
      <c r="Y10" s="5">
        <f>SUM(Y8:Y9)</f>
        <v>1442</v>
      </c>
      <c r="Z10" s="5">
        <f>SUM(Z8:Z9)</f>
        <v>1545</v>
      </c>
      <c r="AA10" s="5">
        <f>SUM(AA8:AA9)</f>
        <v>1648</v>
      </c>
      <c r="AB10" s="5">
        <f t="shared" ref="AB10:AC10" si="46">SUM(AB8:AB9)</f>
        <v>1751</v>
      </c>
      <c r="AC10" s="5">
        <f t="shared" si="46"/>
        <v>1854</v>
      </c>
      <c r="AD10" s="5">
        <f t="shared" ref="AD10:AK10" si="47">SUM(AD8:AD9)</f>
        <v>1957</v>
      </c>
      <c r="AE10" s="5">
        <f t="shared" si="47"/>
        <v>2060</v>
      </c>
      <c r="AF10" s="5">
        <f t="shared" si="47"/>
        <v>2163</v>
      </c>
      <c r="AG10" s="5">
        <f t="shared" si="47"/>
        <v>2266</v>
      </c>
      <c r="AH10" s="5">
        <f t="shared" si="47"/>
        <v>2369</v>
      </c>
      <c r="AI10" s="5">
        <f t="shared" si="47"/>
        <v>2472</v>
      </c>
      <c r="AJ10" s="5">
        <f t="shared" si="47"/>
        <v>2575</v>
      </c>
      <c r="AK10" s="5">
        <f t="shared" si="47"/>
        <v>2678</v>
      </c>
      <c r="AL10" s="5">
        <f t="shared" ref="AL10:AU10" si="48">SUM(AL8:AL9)</f>
        <v>2781</v>
      </c>
      <c r="AM10" s="5">
        <f>SUM(AM8:AM9)</f>
        <v>2884</v>
      </c>
      <c r="AN10" s="5">
        <f t="shared" si="48"/>
        <v>2987</v>
      </c>
      <c r="AO10" s="5">
        <f t="shared" si="48"/>
        <v>3090</v>
      </c>
      <c r="AP10" s="5">
        <f t="shared" si="48"/>
        <v>3193</v>
      </c>
      <c r="AQ10" s="5">
        <f t="shared" si="48"/>
        <v>3296</v>
      </c>
      <c r="AR10" s="5">
        <f t="shared" si="48"/>
        <v>3399</v>
      </c>
      <c r="AS10" s="5">
        <f t="shared" si="48"/>
        <v>3502</v>
      </c>
      <c r="AT10" s="5">
        <f t="shared" si="48"/>
        <v>3605</v>
      </c>
      <c r="AU10" s="5">
        <f t="shared" si="48"/>
        <v>3708</v>
      </c>
    </row>
    <row r="11" spans="1:47">
      <c r="A11" s="189">
        <v>7</v>
      </c>
      <c r="B11" s="193" t="s">
        <v>372</v>
      </c>
      <c r="C11" s="192" t="e">
        <f>ROUND(C10*C$7,0)</f>
        <v>#DIV/0!</v>
      </c>
      <c r="D11" s="192" t="e">
        <f>ROUND(D10*D$7,0)</f>
        <v>#DIV/0!</v>
      </c>
      <c r="E11" s="27"/>
    </row>
    <row r="12" spans="1:47">
      <c r="A12" s="189">
        <v>8</v>
      </c>
      <c r="B12" s="193" t="s">
        <v>373</v>
      </c>
      <c r="C12" s="192">
        <f>K10</f>
        <v>103</v>
      </c>
      <c r="D12" s="192">
        <f>C12</f>
        <v>103</v>
      </c>
      <c r="E12" s="27"/>
      <c r="G12">
        <v>4</v>
      </c>
      <c r="J12" s="16" t="s">
        <v>374</v>
      </c>
      <c r="L12" s="10">
        <f>$J$10-L10</f>
        <v>7606</v>
      </c>
      <c r="M12" s="10">
        <f>$J$10-M10</f>
        <v>7503</v>
      </c>
      <c r="N12" s="10">
        <f t="shared" ref="N12:W12" si="49">$J$10-N10</f>
        <v>7400</v>
      </c>
      <c r="O12" s="10">
        <f t="shared" si="49"/>
        <v>7297</v>
      </c>
      <c r="P12" s="10">
        <f t="shared" si="49"/>
        <v>7194</v>
      </c>
      <c r="Q12" s="10">
        <f t="shared" si="49"/>
        <v>7091</v>
      </c>
      <c r="R12" s="10">
        <f t="shared" si="49"/>
        <v>6988</v>
      </c>
      <c r="S12" s="10">
        <f t="shared" si="49"/>
        <v>6885</v>
      </c>
      <c r="T12" s="10">
        <f t="shared" si="49"/>
        <v>6782</v>
      </c>
      <c r="U12" s="10">
        <f>$J$10-U10</f>
        <v>6679</v>
      </c>
      <c r="V12" s="10">
        <f t="shared" si="49"/>
        <v>6576</v>
      </c>
      <c r="W12" s="10">
        <f t="shared" si="49"/>
        <v>6473</v>
      </c>
      <c r="X12" s="10">
        <f>$J$10-X10</f>
        <v>6370</v>
      </c>
      <c r="Y12" s="10">
        <f>$J$10-Y10</f>
        <v>6267</v>
      </c>
      <c r="Z12" s="10">
        <f>$J$10-Z10</f>
        <v>6164</v>
      </c>
      <c r="AA12" s="10">
        <f>$J$10-AA10</f>
        <v>6061</v>
      </c>
      <c r="AB12" s="10">
        <f>$J$10-AB10</f>
        <v>5958</v>
      </c>
      <c r="AC12" s="10">
        <f t="shared" ref="AC12:AK12" si="50">$J$10-AC10</f>
        <v>5855</v>
      </c>
      <c r="AD12" s="10">
        <f t="shared" si="50"/>
        <v>5752</v>
      </c>
      <c r="AE12" s="10">
        <f t="shared" si="50"/>
        <v>5649</v>
      </c>
      <c r="AF12" s="10">
        <f t="shared" si="50"/>
        <v>5546</v>
      </c>
      <c r="AG12" s="10">
        <f t="shared" si="50"/>
        <v>5443</v>
      </c>
      <c r="AH12" s="10">
        <f t="shared" si="50"/>
        <v>5340</v>
      </c>
      <c r="AI12" s="10">
        <f t="shared" si="50"/>
        <v>5237</v>
      </c>
      <c r="AJ12" s="10">
        <f t="shared" si="50"/>
        <v>5134</v>
      </c>
      <c r="AK12" s="10">
        <f t="shared" si="50"/>
        <v>5031</v>
      </c>
      <c r="AL12" s="10">
        <f t="shared" ref="AL12:AU12" si="51">$J$10-AL10</f>
        <v>4928</v>
      </c>
      <c r="AM12" s="10">
        <f t="shared" si="51"/>
        <v>4825</v>
      </c>
      <c r="AN12" s="10">
        <f t="shared" si="51"/>
        <v>4722</v>
      </c>
      <c r="AO12" s="10">
        <f t="shared" si="51"/>
        <v>4619</v>
      </c>
      <c r="AP12" s="10">
        <f t="shared" si="51"/>
        <v>4516</v>
      </c>
      <c r="AQ12" s="10">
        <f t="shared" si="51"/>
        <v>4413</v>
      </c>
      <c r="AR12" s="10">
        <f t="shared" si="51"/>
        <v>4310</v>
      </c>
      <c r="AS12" s="10">
        <f t="shared" si="51"/>
        <v>4207</v>
      </c>
      <c r="AT12" s="10">
        <f t="shared" si="51"/>
        <v>4104</v>
      </c>
      <c r="AU12" s="10">
        <f t="shared" si="51"/>
        <v>4001</v>
      </c>
    </row>
    <row r="13" spans="1:47">
      <c r="A13" s="191">
        <v>9</v>
      </c>
      <c r="B13" s="193" t="s">
        <v>375</v>
      </c>
      <c r="C13" s="196" t="e">
        <f>C12+C11+C9</f>
        <v>#DIV/0!</v>
      </c>
      <c r="D13" s="196" t="e">
        <f>D12+D11+D9</f>
        <v>#DIV/0!</v>
      </c>
      <c r="E13" s="83"/>
      <c r="J13" s="16"/>
      <c r="M13" s="5"/>
      <c r="N13" s="5"/>
      <c r="O13" s="5"/>
      <c r="P13" s="5"/>
      <c r="Q13" s="5"/>
      <c r="R13" s="5"/>
      <c r="S13" s="5"/>
      <c r="T13" s="5"/>
    </row>
    <row r="14" spans="1:47">
      <c r="A14" s="189"/>
      <c r="B14" s="189"/>
      <c r="C14" s="189"/>
      <c r="D14" s="189"/>
    </row>
  </sheetData>
  <mergeCells count="6">
    <mergeCell ref="H1:Q1"/>
    <mergeCell ref="H2:Q2"/>
    <mergeCell ref="H3:Q3"/>
    <mergeCell ref="L6:Q6"/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7" tint="-0.249977111117893"/>
  </sheetPr>
  <dimension ref="A2:S57"/>
  <sheetViews>
    <sheetView workbookViewId="0">
      <selection activeCell="A2" sqref="A2:XFD4"/>
    </sheetView>
  </sheetViews>
  <sheetFormatPr defaultRowHeight="12.75"/>
  <cols>
    <col min="1" max="1" width="3.140625" style="4" customWidth="1"/>
    <col min="2" max="2" width="38.42578125" style="4" customWidth="1"/>
    <col min="3" max="3" width="11.28515625" style="4" bestFit="1" customWidth="1"/>
    <col min="4" max="4" width="9.85546875" style="4" bestFit="1" customWidth="1"/>
    <col min="5" max="5" width="9.28515625" style="4" bestFit="1" customWidth="1"/>
    <col min="6" max="7" width="10.28515625" style="4" bestFit="1" customWidth="1"/>
    <col min="8" max="8" width="10.5703125" style="4" customWidth="1"/>
    <col min="9" max="9" width="9.28515625" style="4" bestFit="1" customWidth="1"/>
    <col min="10" max="10" width="10.42578125" style="4" customWidth="1"/>
    <col min="11" max="15" width="9.140625" style="4"/>
    <col min="16" max="16" width="36" style="4" bestFit="1" customWidth="1"/>
    <col min="17" max="17" width="15" style="4" bestFit="1" customWidth="1"/>
    <col min="18" max="18" width="14.5703125" style="4" customWidth="1"/>
    <col min="19" max="19" width="12.85546875" style="4" bestFit="1" customWidth="1"/>
    <col min="20" max="16384" width="9.140625" style="4"/>
  </cols>
  <sheetData>
    <row r="2" spans="1:16" ht="18" customHeight="1">
      <c r="B2" s="159" t="s">
        <v>159</v>
      </c>
      <c r="C2" s="159" t="s">
        <v>160</v>
      </c>
      <c r="D2" s="159" t="s">
        <v>161</v>
      </c>
      <c r="E2" s="159" t="s">
        <v>162</v>
      </c>
      <c r="F2" s="159" t="s">
        <v>163</v>
      </c>
      <c r="G2" s="159" t="s">
        <v>164</v>
      </c>
      <c r="H2" s="159" t="s">
        <v>252</v>
      </c>
      <c r="I2" s="159" t="s">
        <v>253</v>
      </c>
      <c r="J2" s="159" t="s">
        <v>254</v>
      </c>
      <c r="K2" s="159" t="s">
        <v>255</v>
      </c>
    </row>
    <row r="3" spans="1:16">
      <c r="N3" s="328"/>
    </row>
    <row r="4" spans="1:16">
      <c r="I4" s="159" t="s">
        <v>363</v>
      </c>
      <c r="J4" s="159" t="s">
        <v>363</v>
      </c>
      <c r="K4" s="159" t="s">
        <v>363</v>
      </c>
    </row>
    <row r="5" spans="1:16">
      <c r="I5" s="159" t="s">
        <v>329</v>
      </c>
      <c r="J5" s="159" t="s">
        <v>329</v>
      </c>
      <c r="K5" s="159" t="s">
        <v>329</v>
      </c>
      <c r="N5" s="159"/>
      <c r="O5" s="159"/>
    </row>
    <row r="6" spans="1:16">
      <c r="C6" s="159" t="s">
        <v>150</v>
      </c>
      <c r="E6" s="159" t="s">
        <v>376</v>
      </c>
      <c r="F6" s="159" t="s">
        <v>150</v>
      </c>
      <c r="H6" s="159" t="s">
        <v>376</v>
      </c>
      <c r="K6" s="159" t="s">
        <v>376</v>
      </c>
      <c r="N6" s="399"/>
      <c r="O6" s="399"/>
      <c r="P6" s="399"/>
    </row>
    <row r="7" spans="1:16">
      <c r="C7" s="159">
        <f>+'Income Statement Cash Flows'!E6</f>
        <v>2022</v>
      </c>
      <c r="D7" s="159" t="s">
        <v>377</v>
      </c>
      <c r="E7" s="159" t="s">
        <v>378</v>
      </c>
      <c r="F7" s="159">
        <f>+'Income Statement Cash Flows'!F6</f>
        <v>2023</v>
      </c>
      <c r="G7" s="159" t="s">
        <v>377</v>
      </c>
      <c r="H7" s="159" t="s">
        <v>378</v>
      </c>
      <c r="I7" s="159" t="s">
        <v>150</v>
      </c>
      <c r="J7" s="159" t="s">
        <v>377</v>
      </c>
      <c r="K7" s="159" t="s">
        <v>378</v>
      </c>
      <c r="N7" s="400"/>
      <c r="O7" s="400"/>
    </row>
    <row r="8" spans="1:16" ht="18" customHeight="1">
      <c r="A8" s="4">
        <v>1</v>
      </c>
      <c r="B8" s="4" t="s">
        <v>331</v>
      </c>
      <c r="C8" s="399">
        <f>D8+E8</f>
        <v>7258</v>
      </c>
      <c r="D8" s="399">
        <f>E47</f>
        <v>7022</v>
      </c>
      <c r="E8" s="399">
        <f>E48</f>
        <v>236</v>
      </c>
      <c r="F8" s="399">
        <f>G8+H8</f>
        <v>8817</v>
      </c>
      <c r="G8" s="399">
        <f>I47</f>
        <v>8527</v>
      </c>
      <c r="H8" s="399">
        <f>I48</f>
        <v>290</v>
      </c>
      <c r="I8" s="399">
        <f>J8+K8</f>
        <v>8038</v>
      </c>
      <c r="J8" s="399">
        <f t="shared" ref="J8:K11" si="0">ROUND((D8+G8)/2,0)</f>
        <v>7775</v>
      </c>
      <c r="K8" s="399">
        <f t="shared" si="0"/>
        <v>263</v>
      </c>
    </row>
    <row r="9" spans="1:16" ht="18" customHeight="1">
      <c r="A9" s="4">
        <v>2</v>
      </c>
      <c r="B9" s="4" t="s">
        <v>46</v>
      </c>
      <c r="C9" s="399">
        <f>D9+E9</f>
        <v>1331.1200000000001</v>
      </c>
      <c r="D9" s="399">
        <f>D47</f>
        <v>1287.5450728609335</v>
      </c>
      <c r="E9" s="399">
        <f>D48</f>
        <v>43.574927139066631</v>
      </c>
      <c r="F9" s="399">
        <f>H49</f>
        <v>1377.8666666666666</v>
      </c>
      <c r="G9" s="399">
        <f>H47</f>
        <v>1334.2917395275999</v>
      </c>
      <c r="H9" s="399">
        <f>H48</f>
        <v>43.574927139066631</v>
      </c>
      <c r="I9" s="399">
        <f>J9+K9</f>
        <v>1355</v>
      </c>
      <c r="J9" s="399">
        <f t="shared" si="0"/>
        <v>1311</v>
      </c>
      <c r="K9" s="399">
        <f t="shared" si="0"/>
        <v>44</v>
      </c>
    </row>
    <row r="10" spans="1:16" ht="18" customHeight="1">
      <c r="A10" s="4">
        <v>3</v>
      </c>
      <c r="B10" s="4" t="s">
        <v>53</v>
      </c>
      <c r="C10" s="399">
        <f>ROUND(COSA!C13*C18,0)</f>
        <v>31</v>
      </c>
      <c r="D10" s="399">
        <f>ROUND(D16/C16*C10,0)</f>
        <v>30</v>
      </c>
      <c r="E10" s="399">
        <f>C10-D10</f>
        <v>1</v>
      </c>
      <c r="F10" s="399">
        <f>ROUND(COSA!C59*F18,0)</f>
        <v>25</v>
      </c>
      <c r="G10" s="4">
        <f>ROUND(G16/F16*F10,0)</f>
        <v>24</v>
      </c>
      <c r="H10" s="399">
        <f>F10-G10</f>
        <v>1</v>
      </c>
      <c r="I10" s="399">
        <f>J10+K10</f>
        <v>28</v>
      </c>
      <c r="J10" s="399">
        <f t="shared" si="0"/>
        <v>27</v>
      </c>
      <c r="K10" s="399">
        <f t="shared" si="0"/>
        <v>1</v>
      </c>
      <c r="M10" s="401"/>
    </row>
    <row r="11" spans="1:16" ht="18" customHeight="1">
      <c r="A11" s="4">
        <v>4</v>
      </c>
      <c r="B11" s="4" t="s">
        <v>379</v>
      </c>
      <c r="C11" s="399">
        <f>ROUND(COSA!D13*C22*C18,0)</f>
        <v>65</v>
      </c>
      <c r="D11" s="4">
        <f>ROUND(D16/C16*C11,0)</f>
        <v>63</v>
      </c>
      <c r="E11" s="399">
        <f>C11-D11</f>
        <v>2</v>
      </c>
      <c r="F11" s="399">
        <f>ROUND(COSA!D59*F22*F18,0)</f>
        <v>95</v>
      </c>
      <c r="G11" s="4">
        <f>ROUND(G16/F16*F11,0)</f>
        <v>92</v>
      </c>
      <c r="H11" s="399">
        <f>F11-G11</f>
        <v>3</v>
      </c>
      <c r="I11" s="399">
        <f>J11+K11</f>
        <v>81</v>
      </c>
      <c r="J11" s="399">
        <f t="shared" si="0"/>
        <v>78</v>
      </c>
      <c r="K11" s="399">
        <f t="shared" si="0"/>
        <v>3</v>
      </c>
      <c r="M11" s="401"/>
    </row>
    <row r="12" spans="1:16" ht="18" customHeight="1">
      <c r="A12" s="328">
        <v>5</v>
      </c>
      <c r="B12" s="328" t="s">
        <v>380</v>
      </c>
      <c r="C12" s="402">
        <f t="shared" ref="C12:H12" si="1">SUM(C8:C11)</f>
        <v>8685.1200000000008</v>
      </c>
      <c r="D12" s="402">
        <f t="shared" si="1"/>
        <v>8402.5450728609339</v>
      </c>
      <c r="E12" s="402">
        <f t="shared" si="1"/>
        <v>282.57492713906663</v>
      </c>
      <c r="F12" s="402">
        <f t="shared" si="1"/>
        <v>10314.866666666667</v>
      </c>
      <c r="G12" s="402">
        <f t="shared" si="1"/>
        <v>9977.2917395275999</v>
      </c>
      <c r="H12" s="402">
        <f t="shared" si="1"/>
        <v>337.57492713906663</v>
      </c>
      <c r="I12" s="402">
        <f>J12+K12</f>
        <v>9502</v>
      </c>
      <c r="J12" s="402">
        <f>SUM(J8:J11)</f>
        <v>9191</v>
      </c>
      <c r="K12" s="402">
        <f>SUM(K8:K11)</f>
        <v>311</v>
      </c>
    </row>
    <row r="15" spans="1:16">
      <c r="E15" s="399"/>
      <c r="H15" s="399"/>
    </row>
    <row r="16" spans="1:16" ht="20.25">
      <c r="A16" s="4">
        <v>6</v>
      </c>
      <c r="B16" s="4" t="s">
        <v>381</v>
      </c>
      <c r="C16" s="399">
        <f>+F49</f>
        <v>59085</v>
      </c>
      <c r="D16" s="399">
        <f>F47</f>
        <v>57166</v>
      </c>
      <c r="E16" s="399">
        <f>F48</f>
        <v>1919</v>
      </c>
      <c r="F16" s="399">
        <f>+J49</f>
        <v>57808</v>
      </c>
      <c r="G16" s="399">
        <f>J47</f>
        <v>55931</v>
      </c>
      <c r="H16" s="399">
        <f>J48</f>
        <v>1877</v>
      </c>
      <c r="J16" s="403"/>
    </row>
    <row r="17" spans="1:10">
      <c r="A17" s="4">
        <v>7</v>
      </c>
      <c r="B17" s="4" t="s">
        <v>382</v>
      </c>
      <c r="C17" s="399">
        <v>6289890</v>
      </c>
      <c r="F17" s="399">
        <v>6421851</v>
      </c>
      <c r="G17" s="399"/>
      <c r="J17" s="399"/>
    </row>
    <row r="18" spans="1:10">
      <c r="A18" s="4">
        <v>8</v>
      </c>
      <c r="B18" s="4" t="s">
        <v>383</v>
      </c>
      <c r="C18" s="404">
        <f>C16/C17</f>
        <v>9.3936459938091122E-3</v>
      </c>
      <c r="F18" s="404">
        <f>F16/F17</f>
        <v>9.0017660017337672E-3</v>
      </c>
      <c r="G18" s="404"/>
      <c r="J18" s="404"/>
    </row>
    <row r="20" spans="1:10">
      <c r="A20" s="4">
        <v>9</v>
      </c>
      <c r="B20" s="4" t="s">
        <v>384</v>
      </c>
      <c r="C20" s="399">
        <f>+'Income Statement Cash Flows'!E61</f>
        <v>67831.027840620169</v>
      </c>
      <c r="F20" s="399">
        <f>+'Income Statement Cash Flows'!F61</f>
        <v>104442.559888727</v>
      </c>
    </row>
    <row r="21" spans="1:10">
      <c r="A21" s="4">
        <v>10</v>
      </c>
      <c r="B21" s="4" t="s">
        <v>385</v>
      </c>
      <c r="C21" s="399">
        <f>+'Income Statement Cash Flows'!E46</f>
        <v>98831.027840620169</v>
      </c>
      <c r="F21" s="399">
        <f>+'Income Statement Cash Flows'!F46</f>
        <v>135442.559888727</v>
      </c>
    </row>
    <row r="22" spans="1:10">
      <c r="A22" s="4">
        <v>11</v>
      </c>
      <c r="B22" s="4" t="s">
        <v>386</v>
      </c>
      <c r="C22" s="320">
        <f>IF(C21=0,1,C20/C21)</f>
        <v>0.68633332388293944</v>
      </c>
      <c r="F22" s="320">
        <f>IF(F21=0,1,F20/F21)</f>
        <v>0.77112068743039053</v>
      </c>
    </row>
    <row r="23" spans="1:10">
      <c r="A23" s="4">
        <v>12</v>
      </c>
      <c r="B23" s="4" t="s">
        <v>387</v>
      </c>
      <c r="C23" s="399">
        <f>+'Income Statement Cash Flows'!E45</f>
        <v>31000</v>
      </c>
      <c r="F23" s="399">
        <f>+'Income Statement Cash Flows'!F45</f>
        <v>31000</v>
      </c>
    </row>
    <row r="24" spans="1:10">
      <c r="A24" s="4">
        <v>13</v>
      </c>
      <c r="B24" s="4" t="s">
        <v>388</v>
      </c>
      <c r="C24" s="405">
        <f>1-C22</f>
        <v>0.31366667611706056</v>
      </c>
      <c r="F24" s="405">
        <f>1-F22</f>
        <v>0.22887931256960947</v>
      </c>
    </row>
    <row r="27" spans="1:10">
      <c r="C27" s="159" t="s">
        <v>159</v>
      </c>
      <c r="D27" s="159" t="s">
        <v>160</v>
      </c>
      <c r="E27" s="159" t="s">
        <v>161</v>
      </c>
      <c r="F27" s="159" t="s">
        <v>162</v>
      </c>
      <c r="G27" s="159" t="s">
        <v>163</v>
      </c>
      <c r="H27" s="159" t="s">
        <v>164</v>
      </c>
      <c r="I27" s="159" t="s">
        <v>252</v>
      </c>
      <c r="J27" s="159" t="s">
        <v>253</v>
      </c>
    </row>
    <row r="28" spans="1:10">
      <c r="C28" s="159">
        <v>2022</v>
      </c>
      <c r="D28" s="159">
        <f>+C28</f>
        <v>2022</v>
      </c>
      <c r="E28" s="159">
        <f>+D28</f>
        <v>2022</v>
      </c>
      <c r="F28" s="159">
        <f>+E28</f>
        <v>2022</v>
      </c>
      <c r="G28" s="159">
        <v>2023</v>
      </c>
      <c r="H28" s="159">
        <f>+G28</f>
        <v>2023</v>
      </c>
      <c r="I28" s="159">
        <f>+H28</f>
        <v>2023</v>
      </c>
      <c r="J28" s="159">
        <f>+I28</f>
        <v>2023</v>
      </c>
    </row>
    <row r="29" spans="1:10">
      <c r="C29" s="159" t="s">
        <v>389</v>
      </c>
      <c r="D29" s="159" t="s">
        <v>390</v>
      </c>
      <c r="E29" s="159" t="s">
        <v>331</v>
      </c>
      <c r="F29" s="159" t="s">
        <v>391</v>
      </c>
      <c r="G29" s="159" t="s">
        <v>389</v>
      </c>
      <c r="H29" s="159" t="s">
        <v>390</v>
      </c>
      <c r="I29" s="159" t="s">
        <v>331</v>
      </c>
      <c r="J29" s="159" t="s">
        <v>391</v>
      </c>
    </row>
    <row r="30" spans="1:10">
      <c r="C30" s="159" t="s">
        <v>261</v>
      </c>
      <c r="D30" s="159" t="s">
        <v>290</v>
      </c>
      <c r="F30" s="159" t="s">
        <v>261</v>
      </c>
      <c r="G30" s="159" t="s">
        <v>261</v>
      </c>
      <c r="H30" s="159" t="s">
        <v>290</v>
      </c>
      <c r="J30" s="159" t="s">
        <v>261</v>
      </c>
    </row>
    <row r="31" spans="1:10">
      <c r="B31" s="159" t="s">
        <v>3</v>
      </c>
      <c r="C31" s="399"/>
      <c r="D31" s="399"/>
      <c r="F31" s="399"/>
      <c r="G31" s="399"/>
      <c r="H31" s="399"/>
      <c r="J31" s="399"/>
    </row>
    <row r="32" spans="1:10">
      <c r="B32" s="406" t="s">
        <v>334</v>
      </c>
      <c r="C32" s="399"/>
      <c r="D32" s="399"/>
      <c r="F32" s="399"/>
      <c r="G32" s="399"/>
      <c r="H32" s="399"/>
      <c r="J32" s="399"/>
    </row>
    <row r="33" spans="2:19">
      <c r="B33" s="4" t="s">
        <v>377</v>
      </c>
      <c r="C33" s="119">
        <v>96194</v>
      </c>
      <c r="D33" s="119">
        <f>+D35*C33/C35</f>
        <v>1223.8384061942668</v>
      </c>
      <c r="E33" s="119">
        <f>ROUND(C33/C35*E35,0)</f>
        <v>6634</v>
      </c>
      <c r="F33" s="119">
        <f>ROUND(C33/C35*F35,0)</f>
        <v>53909</v>
      </c>
      <c r="G33" s="119">
        <f>C33</f>
        <v>96194</v>
      </c>
      <c r="H33" s="119">
        <f>D33</f>
        <v>1223.8384061942668</v>
      </c>
      <c r="I33" s="119">
        <f>ROUND(G33/G35*I35,0)</f>
        <v>8143</v>
      </c>
      <c r="J33" s="119">
        <f>ROUND(G33/G35*J35,0)-1</f>
        <v>52736</v>
      </c>
    </row>
    <row r="34" spans="2:19">
      <c r="B34" s="381" t="s">
        <v>378</v>
      </c>
      <c r="C34" s="119">
        <v>3425</v>
      </c>
      <c r="D34" s="119">
        <f>+D35-D33</f>
        <v>43.574927139066631</v>
      </c>
      <c r="E34" s="119">
        <f>E35-E33</f>
        <v>236</v>
      </c>
      <c r="F34" s="119">
        <f>ROUND(C34/C35*F35,0)</f>
        <v>1919</v>
      </c>
      <c r="G34" s="119">
        <f t="shared" ref="G34:H34" si="2">C34</f>
        <v>3425</v>
      </c>
      <c r="H34" s="119">
        <f t="shared" si="2"/>
        <v>43.574927139066631</v>
      </c>
      <c r="I34" s="119">
        <f>I35-I33</f>
        <v>290</v>
      </c>
      <c r="J34" s="119">
        <f>ROUND(G34/G35*J35,0)-1</f>
        <v>1877</v>
      </c>
    </row>
    <row r="35" spans="2:19">
      <c r="B35" s="407" t="s">
        <v>287</v>
      </c>
      <c r="C35" s="119">
        <f>SUM(C33:C34)</f>
        <v>99619</v>
      </c>
      <c r="D35" s="119">
        <f>+[3]USBR!$AE$9</f>
        <v>1267.4133333333334</v>
      </c>
      <c r="E35" s="119">
        <f>+'Corps Rec Functionalization'!E13</f>
        <v>6870</v>
      </c>
      <c r="F35" s="408">
        <v>55828</v>
      </c>
      <c r="G35" s="119">
        <f>C35</f>
        <v>99619</v>
      </c>
      <c r="H35" s="119">
        <f>+[3]USBR!$AI$9</f>
        <v>1328.2</v>
      </c>
      <c r="I35" s="119">
        <f>+'Corps Rec Functionalization'!H13</f>
        <v>8433</v>
      </c>
      <c r="J35" s="119">
        <v>54615</v>
      </c>
      <c r="P35" s="328"/>
    </row>
    <row r="36" spans="2:19">
      <c r="B36" s="406" t="s">
        <v>337</v>
      </c>
      <c r="C36" s="119"/>
      <c r="D36" s="119"/>
      <c r="E36" s="119"/>
      <c r="F36" s="119"/>
      <c r="G36" s="119"/>
      <c r="H36" s="119"/>
      <c r="I36" s="119"/>
      <c r="J36" s="119"/>
    </row>
    <row r="37" spans="2:19">
      <c r="B37" s="4" t="s">
        <v>377</v>
      </c>
      <c r="C37" s="119">
        <v>1962</v>
      </c>
      <c r="D37" s="119">
        <f>+[3]USBR!$AE$15</f>
        <v>29.766666666666666</v>
      </c>
      <c r="E37" s="119">
        <f>+'Corps Rec Functionalization'!E19</f>
        <v>102</v>
      </c>
      <c r="F37" s="408">
        <v>836</v>
      </c>
      <c r="G37" s="119">
        <f>C37</f>
        <v>1962</v>
      </c>
      <c r="H37" s="119">
        <f>+[3]USBR!$AI$15</f>
        <v>33.333333333333336</v>
      </c>
      <c r="I37" s="119">
        <f>+'Corps Rec Functionalization'!H19</f>
        <v>98</v>
      </c>
      <c r="J37" s="119">
        <v>826</v>
      </c>
    </row>
    <row r="38" spans="2:19">
      <c r="B38" s="406" t="s">
        <v>338</v>
      </c>
      <c r="C38" s="119"/>
      <c r="D38" s="119"/>
      <c r="E38" s="119"/>
      <c r="F38" s="119"/>
      <c r="G38" s="119"/>
      <c r="H38" s="119"/>
      <c r="I38" s="119"/>
      <c r="J38" s="119"/>
    </row>
    <row r="39" spans="2:19">
      <c r="B39" s="4" t="s">
        <v>377</v>
      </c>
      <c r="C39" s="119">
        <f>2056+1565</f>
        <v>3621</v>
      </c>
      <c r="D39" s="119">
        <f>+[3]USBR!$AE$19</f>
        <v>33.94</v>
      </c>
      <c r="E39" s="119">
        <f>ROUND(C39/C41*E41,0)</f>
        <v>223</v>
      </c>
      <c r="F39" s="119">
        <f>ROUND(C39/C41*F41,0)</f>
        <v>777</v>
      </c>
      <c r="G39" s="119">
        <f t="shared" ref="G39:H41" si="3">C39</f>
        <v>3621</v>
      </c>
      <c r="H39" s="119">
        <f>+[3]USBR!$AI$19</f>
        <v>41.12</v>
      </c>
      <c r="I39" s="119">
        <f>ROUND(G39/G41*I41,0)</f>
        <v>224</v>
      </c>
      <c r="J39" s="119">
        <f>ROUND(G39/G41*J41,0)</f>
        <v>761</v>
      </c>
    </row>
    <row r="40" spans="2:19">
      <c r="B40" s="381" t="s">
        <v>378</v>
      </c>
      <c r="C40" s="119">
        <v>0</v>
      </c>
      <c r="D40" s="119">
        <v>0</v>
      </c>
      <c r="E40" s="119">
        <f>E41-E39</f>
        <v>0</v>
      </c>
      <c r="F40" s="119">
        <f>ROUND(C40/C41*F41,0)</f>
        <v>0</v>
      </c>
      <c r="G40" s="119">
        <f t="shared" si="3"/>
        <v>0</v>
      </c>
      <c r="H40" s="119">
        <f t="shared" si="3"/>
        <v>0</v>
      </c>
      <c r="I40" s="119">
        <f>I41-I39</f>
        <v>0</v>
      </c>
      <c r="J40" s="119">
        <f>ROUND(G40/G41*J41,0)</f>
        <v>0</v>
      </c>
    </row>
    <row r="41" spans="2:19">
      <c r="B41" s="407" t="s">
        <v>287</v>
      </c>
      <c r="C41" s="119">
        <f>SUM(C39:C40)</f>
        <v>3621</v>
      </c>
      <c r="D41" s="119">
        <f>+D40+D39</f>
        <v>33.94</v>
      </c>
      <c r="E41" s="119">
        <f>+'Corps Rec Functionalization'!E23</f>
        <v>223</v>
      </c>
      <c r="F41" s="119">
        <v>777</v>
      </c>
      <c r="G41" s="119">
        <f t="shared" si="3"/>
        <v>3621</v>
      </c>
      <c r="H41" s="119">
        <f>D41</f>
        <v>33.94</v>
      </c>
      <c r="I41" s="119">
        <f>+'Corps Rec Functionalization'!H23</f>
        <v>224</v>
      </c>
      <c r="J41" s="119">
        <v>761</v>
      </c>
      <c r="P41" s="119"/>
      <c r="Q41" s="119"/>
      <c r="R41" s="119"/>
      <c r="S41" s="119"/>
    </row>
    <row r="42" spans="2:19">
      <c r="B42" s="159" t="s">
        <v>4</v>
      </c>
      <c r="C42" s="119"/>
      <c r="D42" s="119"/>
      <c r="E42" s="119"/>
      <c r="F42" s="119"/>
      <c r="G42" s="119"/>
      <c r="H42" s="119"/>
      <c r="I42" s="119"/>
      <c r="J42" s="119"/>
      <c r="P42" s="119"/>
      <c r="Q42" s="119"/>
      <c r="R42" s="119"/>
      <c r="S42" s="119"/>
    </row>
    <row r="43" spans="2:19">
      <c r="B43" s="328" t="s">
        <v>343</v>
      </c>
      <c r="C43" s="119"/>
      <c r="D43" s="119"/>
      <c r="E43" s="119"/>
      <c r="F43" s="119"/>
      <c r="G43" s="119"/>
      <c r="H43" s="119"/>
      <c r="I43" s="119"/>
      <c r="J43" s="119"/>
      <c r="P43" s="119"/>
      <c r="Q43" s="119"/>
      <c r="R43" s="119"/>
      <c r="S43" s="119"/>
    </row>
    <row r="44" spans="2:19">
      <c r="B44" s="4" t="s">
        <v>377</v>
      </c>
      <c r="C44" s="119">
        <v>3426</v>
      </c>
      <c r="D44" s="119">
        <f>+[3]COE!$AH$7</f>
        <v>0</v>
      </c>
      <c r="E44" s="119">
        <f>+'Corps Rec Functionalization'!E39</f>
        <v>63</v>
      </c>
      <c r="F44" s="119">
        <v>1644</v>
      </c>
      <c r="G44" s="119">
        <v>2700</v>
      </c>
      <c r="H44" s="119">
        <f>+[3]COE!$AL$7</f>
        <v>36</v>
      </c>
      <c r="I44" s="119">
        <f>+'Corps Rec Functionalization'!H39</f>
        <v>62</v>
      </c>
      <c r="J44" s="119">
        <v>1608</v>
      </c>
      <c r="P44" s="119"/>
      <c r="Q44" s="119"/>
      <c r="R44" s="119"/>
      <c r="S44" s="119"/>
    </row>
    <row r="45" spans="2:19">
      <c r="C45" s="119"/>
      <c r="D45" s="119"/>
      <c r="E45" s="119"/>
      <c r="F45" s="119"/>
      <c r="G45" s="119"/>
      <c r="H45" s="119"/>
      <c r="I45" s="119"/>
      <c r="J45" s="119"/>
      <c r="P45" s="119"/>
      <c r="Q45" s="119"/>
      <c r="R45" s="119"/>
      <c r="S45" s="119"/>
    </row>
    <row r="46" spans="2:19">
      <c r="B46" s="328" t="s">
        <v>392</v>
      </c>
      <c r="C46" s="119"/>
      <c r="D46" s="119"/>
      <c r="E46" s="119"/>
      <c r="F46" s="119"/>
      <c r="G46" s="119"/>
      <c r="H46" s="119"/>
      <c r="I46" s="119"/>
      <c r="J46" s="119"/>
      <c r="P46" s="119"/>
      <c r="Q46" s="119"/>
      <c r="R46" s="119"/>
      <c r="S46" s="119"/>
    </row>
    <row r="47" spans="2:19">
      <c r="B47" s="4" t="s">
        <v>377</v>
      </c>
      <c r="C47" s="119">
        <f t="shared" ref="C47:J47" si="4">C33+C37+C39+C44</f>
        <v>105203</v>
      </c>
      <c r="D47" s="119">
        <f t="shared" si="4"/>
        <v>1287.5450728609335</v>
      </c>
      <c r="E47" s="119">
        <f t="shared" si="4"/>
        <v>7022</v>
      </c>
      <c r="F47" s="119">
        <f t="shared" si="4"/>
        <v>57166</v>
      </c>
      <c r="G47" s="119">
        <f t="shared" si="4"/>
        <v>104477</v>
      </c>
      <c r="H47" s="119">
        <f t="shared" si="4"/>
        <v>1334.2917395275999</v>
      </c>
      <c r="I47" s="119">
        <f t="shared" si="4"/>
        <v>8527</v>
      </c>
      <c r="J47" s="119">
        <f t="shared" si="4"/>
        <v>55931</v>
      </c>
    </row>
    <row r="48" spans="2:19">
      <c r="B48" s="381" t="s">
        <v>378</v>
      </c>
      <c r="C48" s="119">
        <f t="shared" ref="C48:J48" si="5">C34+C40</f>
        <v>3425</v>
      </c>
      <c r="D48" s="119">
        <f t="shared" si="5"/>
        <v>43.574927139066631</v>
      </c>
      <c r="E48" s="119">
        <f t="shared" si="5"/>
        <v>236</v>
      </c>
      <c r="F48" s="119">
        <f t="shared" si="5"/>
        <v>1919</v>
      </c>
      <c r="G48" s="119">
        <f t="shared" si="5"/>
        <v>3425</v>
      </c>
      <c r="H48" s="119">
        <f t="shared" si="5"/>
        <v>43.574927139066631</v>
      </c>
      <c r="I48" s="119">
        <f t="shared" si="5"/>
        <v>290</v>
      </c>
      <c r="J48" s="119">
        <f t="shared" si="5"/>
        <v>1877</v>
      </c>
    </row>
    <row r="49" spans="2:18">
      <c r="B49" s="407" t="s">
        <v>287</v>
      </c>
      <c r="C49" s="119">
        <f t="shared" ref="C49:J49" si="6">SUM(C47:C48)</f>
        <v>108628</v>
      </c>
      <c r="D49" s="119">
        <f t="shared" si="6"/>
        <v>1331.1200000000001</v>
      </c>
      <c r="E49" s="119">
        <f t="shared" si="6"/>
        <v>7258</v>
      </c>
      <c r="F49" s="119">
        <f t="shared" si="6"/>
        <v>59085</v>
      </c>
      <c r="G49" s="119">
        <f t="shared" si="6"/>
        <v>107902</v>
      </c>
      <c r="H49" s="119">
        <f t="shared" si="6"/>
        <v>1377.8666666666666</v>
      </c>
      <c r="I49" s="119">
        <f t="shared" si="6"/>
        <v>8817</v>
      </c>
      <c r="J49" s="119">
        <f t="shared" si="6"/>
        <v>57808</v>
      </c>
    </row>
    <row r="50" spans="2:18">
      <c r="C50" s="399"/>
      <c r="D50" s="399"/>
      <c r="E50" s="399"/>
      <c r="F50" s="399"/>
      <c r="G50" s="399"/>
      <c r="H50" s="399"/>
      <c r="I50" s="399"/>
    </row>
    <row r="51" spans="2:18">
      <c r="C51" s="399"/>
      <c r="D51" s="399"/>
      <c r="E51" s="399"/>
      <c r="F51" s="399"/>
      <c r="G51" s="399"/>
      <c r="H51" s="399"/>
      <c r="I51" s="399"/>
      <c r="R51" s="409"/>
    </row>
    <row r="52" spans="2:18">
      <c r="C52" s="399"/>
      <c r="D52" s="399"/>
      <c r="E52" s="399"/>
      <c r="F52" s="399"/>
      <c r="G52" s="399"/>
      <c r="H52" s="399"/>
      <c r="I52" s="399"/>
    </row>
    <row r="53" spans="2:18">
      <c r="C53" s="399"/>
      <c r="D53" s="399"/>
      <c r="E53" s="399"/>
      <c r="F53" s="399"/>
      <c r="G53" s="399"/>
      <c r="H53" s="399"/>
      <c r="I53" s="399"/>
    </row>
    <row r="54" spans="2:18">
      <c r="C54" s="399"/>
      <c r="D54" s="399"/>
      <c r="E54" s="399"/>
      <c r="F54" s="399"/>
      <c r="G54" s="399"/>
      <c r="H54" s="399"/>
      <c r="I54" s="399"/>
    </row>
    <row r="55" spans="2:18">
      <c r="C55" s="399"/>
      <c r="D55" s="399"/>
      <c r="E55" s="399"/>
      <c r="F55" s="399"/>
      <c r="G55" s="399"/>
      <c r="H55" s="399"/>
      <c r="I55" s="399"/>
    </row>
    <row r="56" spans="2:18">
      <c r="C56" s="399"/>
      <c r="D56" s="399"/>
      <c r="E56" s="399"/>
      <c r="F56" s="399"/>
      <c r="G56" s="399"/>
      <c r="H56" s="399"/>
      <c r="I56" s="399"/>
    </row>
    <row r="57" spans="2:18">
      <c r="C57" s="399"/>
      <c r="D57" s="399"/>
      <c r="E57" s="399"/>
      <c r="F57" s="399"/>
      <c r="G57" s="399"/>
      <c r="H57" s="399"/>
      <c r="I57" s="39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F73"/>
  <sheetViews>
    <sheetView zoomScaleNormal="100" workbookViewId="0">
      <selection activeCell="R43" sqref="R43"/>
    </sheetView>
  </sheetViews>
  <sheetFormatPr defaultRowHeight="12.75"/>
  <cols>
    <col min="1" max="1" width="3.140625" customWidth="1"/>
    <col min="2" max="2" width="36" customWidth="1"/>
    <col min="3" max="3" width="11.42578125" customWidth="1"/>
    <col min="4" max="4" width="12.28515625" customWidth="1"/>
    <col min="5" max="5" width="10" customWidth="1"/>
    <col min="7" max="7" width="10.140625" customWidth="1"/>
  </cols>
  <sheetData>
    <row r="1" spans="1:4">
      <c r="A1" s="394"/>
      <c r="B1" s="394"/>
      <c r="C1" s="394"/>
      <c r="D1" s="394"/>
    </row>
    <row r="2" spans="1:4">
      <c r="A2" s="394"/>
      <c r="B2" s="394"/>
      <c r="C2" s="394"/>
      <c r="D2" s="394"/>
    </row>
    <row r="3" spans="1:4">
      <c r="A3" s="394"/>
      <c r="B3" s="394"/>
      <c r="C3" s="394"/>
      <c r="D3" s="394"/>
    </row>
    <row r="4" spans="1:4">
      <c r="A4" s="394"/>
      <c r="B4" s="394"/>
      <c r="C4" s="394"/>
      <c r="D4" s="394"/>
    </row>
    <row r="6" spans="1:4">
      <c r="C6" s="131"/>
      <c r="D6" s="131"/>
    </row>
    <row r="7" spans="1:4">
      <c r="B7" s="20"/>
    </row>
    <row r="8" spans="1:4">
      <c r="C8" s="52"/>
      <c r="D8" s="52"/>
    </row>
    <row r="9" spans="1:4">
      <c r="C9" s="52"/>
      <c r="D9" s="52"/>
    </row>
    <row r="10" spans="1:4">
      <c r="C10" s="52"/>
      <c r="D10" s="52"/>
    </row>
    <row r="11" spans="1:4">
      <c r="C11" s="52"/>
      <c r="D11" s="52"/>
    </row>
    <row r="12" spans="1:4">
      <c r="C12" s="52"/>
      <c r="D12" s="52"/>
    </row>
    <row r="13" spans="1:4">
      <c r="C13" s="52"/>
      <c r="D13" s="52"/>
    </row>
    <row r="15" spans="1:4">
      <c r="C15" s="27"/>
      <c r="D15" s="27"/>
    </row>
    <row r="17" spans="1:6">
      <c r="C17" s="52"/>
      <c r="D17" s="52"/>
    </row>
    <row r="19" spans="1:6">
      <c r="C19" s="84"/>
      <c r="D19" s="84"/>
    </row>
    <row r="20" spans="1:6">
      <c r="A20" s="20"/>
      <c r="C20" s="85"/>
      <c r="D20" s="85"/>
    </row>
    <row r="21" spans="1:6">
      <c r="A21" s="16"/>
      <c r="B21" s="16"/>
      <c r="C21" s="78"/>
      <c r="D21" s="78"/>
    </row>
    <row r="22" spans="1:6">
      <c r="A22" s="74"/>
      <c r="B22" s="75"/>
    </row>
    <row r="23" spans="1:6">
      <c r="B23" s="76"/>
    </row>
    <row r="26" spans="1:6">
      <c r="A26" s="26"/>
    </row>
    <row r="29" spans="1:6">
      <c r="C29" s="32"/>
      <c r="D29" s="32"/>
    </row>
    <row r="30" spans="1:6">
      <c r="E30" s="32"/>
      <c r="F30" s="32"/>
    </row>
    <row r="31" spans="1:6">
      <c r="C31" s="11"/>
      <c r="D31" s="11"/>
    </row>
    <row r="32" spans="1:6">
      <c r="C32" s="29"/>
      <c r="D32" s="146"/>
    </row>
    <row r="33" spans="2:5">
      <c r="B33" s="16"/>
    </row>
    <row r="34" spans="2:5">
      <c r="B34" s="79"/>
      <c r="C34" s="96"/>
      <c r="D34" s="96"/>
    </row>
    <row r="35" spans="2:5">
      <c r="B35" s="9"/>
      <c r="C35" s="96"/>
      <c r="D35" s="96"/>
      <c r="E35" s="10"/>
    </row>
    <row r="36" spans="2:5">
      <c r="C36" s="96"/>
      <c r="D36" s="96"/>
      <c r="E36" s="86"/>
    </row>
    <row r="37" spans="2:5">
      <c r="B37" s="87"/>
      <c r="C37" s="96"/>
      <c r="D37" s="96"/>
      <c r="E37" s="86"/>
    </row>
    <row r="38" spans="2:5">
      <c r="B38" s="87"/>
      <c r="C38" s="96"/>
      <c r="D38" s="96"/>
      <c r="E38" s="86"/>
    </row>
    <row r="39" spans="2:5">
      <c r="B39" s="87"/>
      <c r="C39" s="96"/>
      <c r="D39" s="96"/>
      <c r="E39" s="86"/>
    </row>
    <row r="40" spans="2:5">
      <c r="C40" s="97"/>
      <c r="D40" s="97"/>
    </row>
    <row r="41" spans="2:5">
      <c r="C41" s="97"/>
      <c r="D41" s="97"/>
    </row>
    <row r="42" spans="2:5">
      <c r="B42" s="88"/>
      <c r="C42" s="97"/>
      <c r="D42" s="97"/>
    </row>
    <row r="43" spans="2:5">
      <c r="C43" s="96"/>
      <c r="D43" s="96"/>
      <c r="E43" s="11"/>
    </row>
    <row r="44" spans="2:5">
      <c r="C44" s="98"/>
      <c r="D44" s="98"/>
      <c r="E44" s="11"/>
    </row>
    <row r="45" spans="2:5">
      <c r="C45" s="99"/>
      <c r="D45" s="99"/>
    </row>
    <row r="46" spans="2:5">
      <c r="C46" s="96"/>
      <c r="D46" s="96"/>
    </row>
    <row r="47" spans="2:5">
      <c r="B47" s="28"/>
      <c r="C47" s="96"/>
      <c r="D47" s="96"/>
      <c r="E47" s="10"/>
    </row>
    <row r="48" spans="2:5">
      <c r="C48" s="6"/>
      <c r="D48" s="6"/>
    </row>
    <row r="49" spans="2:6">
      <c r="C49" s="6"/>
      <c r="D49" s="6"/>
    </row>
    <row r="50" spans="2:6">
      <c r="C50" s="19"/>
      <c r="D50" s="19"/>
    </row>
    <row r="51" spans="2:6">
      <c r="C51" s="19"/>
      <c r="D51" s="19"/>
    </row>
    <row r="52" spans="2:6">
      <c r="C52" s="19"/>
      <c r="D52" s="19"/>
    </row>
    <row r="53" spans="2:6">
      <c r="C53" s="6"/>
      <c r="D53" s="6"/>
    </row>
    <row r="54" spans="2:6">
      <c r="B54" s="16"/>
      <c r="C54" s="6"/>
      <c r="D54" s="6"/>
      <c r="F54" s="85"/>
    </row>
    <row r="55" spans="2:6">
      <c r="C55" s="100"/>
      <c r="D55" s="100"/>
    </row>
    <row r="56" spans="2:6">
      <c r="C56" s="19"/>
      <c r="D56" s="19"/>
      <c r="F56" s="32"/>
    </row>
    <row r="57" spans="2:6">
      <c r="C57" s="19"/>
      <c r="D57" s="19"/>
      <c r="F57" s="11"/>
    </row>
    <row r="58" spans="2:6">
      <c r="C58" s="19"/>
      <c r="D58" s="19"/>
    </row>
    <row r="59" spans="2:6">
      <c r="C59" s="19"/>
      <c r="D59" s="19"/>
    </row>
    <row r="60" spans="2:6">
      <c r="C60" s="19"/>
      <c r="D60" s="19"/>
    </row>
    <row r="61" spans="2:6">
      <c r="C61" s="19"/>
      <c r="D61" s="19"/>
    </row>
    <row r="62" spans="2:6">
      <c r="C62" s="96"/>
      <c r="D62" s="6"/>
    </row>
    <row r="63" spans="2:6">
      <c r="C63" s="100"/>
      <c r="D63" s="100"/>
    </row>
    <row r="64" spans="2:6">
      <c r="C64" s="6"/>
      <c r="D64" s="6"/>
    </row>
    <row r="65" spans="2:4">
      <c r="C65" s="6"/>
      <c r="D65" s="6"/>
    </row>
    <row r="66" spans="2:4">
      <c r="C66" s="6"/>
      <c r="D66" s="6"/>
    </row>
    <row r="73" spans="2:4">
      <c r="B73" s="16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E17D87B0A0545AE9B4C7D0EF2487C" ma:contentTypeVersion="0" ma:contentTypeDescription="Create a new document." ma:contentTypeScope="" ma:versionID="ca2a47ddfabaaf22a27f940a921c65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B1595-1136-40F5-8C27-E07D90D9F140}"/>
</file>

<file path=customXml/itemProps2.xml><?xml version="1.0" encoding="utf-8"?>
<ds:datastoreItem xmlns:ds="http://schemas.openxmlformats.org/officeDocument/2006/customXml" ds:itemID="{4AA18083-CEFB-4C7C-9C05-1BDAAD417006}"/>
</file>

<file path=customXml/itemProps3.xml><?xml version="1.0" encoding="utf-8"?>
<ds:datastoreItem xmlns:ds="http://schemas.openxmlformats.org/officeDocument/2006/customXml" ds:itemID="{166E15AA-A224-40F6-9BD2-C734F03E3ABF}"/>
</file>

<file path=customXml/itemProps4.xml><?xml version="1.0" encoding="utf-8"?>
<ds:datastoreItem xmlns:ds="http://schemas.openxmlformats.org/officeDocument/2006/customXml" ds:itemID="{1F6F9F83-146C-4DA4-8F61-BD87AA8EC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Income Statement Cash Flows</vt:lpstr>
      <vt:lpstr>Current Revenue Test</vt:lpstr>
      <vt:lpstr>Current Evans Table</vt:lpstr>
      <vt:lpstr>Revised Revenue Test</vt:lpstr>
      <vt:lpstr>Revised Evans Table</vt:lpstr>
      <vt:lpstr>cost table</vt:lpstr>
      <vt:lpstr>COSA</vt:lpstr>
      <vt:lpstr>equivalent annual costs</vt:lpstr>
      <vt:lpstr>Debt to Asset Ratio</vt:lpstr>
      <vt:lpstr>Depreciation</vt:lpstr>
      <vt:lpstr>Fed Projections</vt:lpstr>
      <vt:lpstr>IPR Data</vt:lpstr>
      <vt:lpstr>Modeling results</vt:lpstr>
      <vt:lpstr>Federal Capital Costs</vt:lpstr>
      <vt:lpstr>Non-Federal DS</vt:lpstr>
      <vt:lpstr>interest credit calculations</vt:lpstr>
      <vt:lpstr>R&amp;D split</vt:lpstr>
      <vt:lpstr>REP staff costs</vt:lpstr>
      <vt:lpstr>EE staffing split</vt:lpstr>
      <vt:lpstr>Rev Test Summary (Table1)</vt:lpstr>
      <vt:lpstr>Corps Rec Functionalization</vt:lpstr>
      <vt:lpstr>Corps Rec Project O&amp;M</vt:lpstr>
      <vt:lpstr>synchronous condensor</vt:lpstr>
      <vt:lpstr>Corps Rec Transmission</vt:lpstr>
      <vt:lpstr>Sheet1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Lennox,Alexander (BPA) - FTR-2</cp:lastModifiedBy>
  <cp:lastPrinted>2018-10-12T16:41:46Z</cp:lastPrinted>
  <dcterms:created xsi:type="dcterms:W3CDTF">2010-11-26T22:14:36Z</dcterms:created>
  <dcterms:modified xsi:type="dcterms:W3CDTF">2021-07-15T17:48:42Z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WorkBook</vt:lpwstr>
  </property>
  <property fmtid="{D5CDD505-2E9C-101B-9397-08002B2CF9AE}" pid="3" name="ContentTypeId">
    <vt:lpwstr>0x0101006A2E17D87B0A0545AE9B4C7D0EF2487C</vt:lpwstr>
  </property>
</Properties>
</file>