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aul Work\Rate Case_BP_TC-22\Final Web Updates\"/>
    </mc:Choice>
  </mc:AlternateContent>
  <bookViews>
    <workbookView xWindow="0" yWindow="0" windowWidth="23040" windowHeight="8916" activeTab="1"/>
  </bookViews>
  <sheets>
    <sheet name="Input" sheetId="205" r:id="rId1"/>
    <sheet name="T-1" sheetId="134" r:id="rId2"/>
    <sheet name="T-2" sheetId="3" r:id="rId3"/>
    <sheet name="T-3" sheetId="5" r:id="rId4"/>
    <sheet name="T-4" sheetId="29" r:id="rId5"/>
    <sheet name="T-5" sheetId="30" r:id="rId6"/>
    <sheet name="T-6" sheetId="86" r:id="rId7"/>
    <sheet name="T-7" sheetId="89" r:id="rId8"/>
    <sheet name="T-8" sheetId="14" r:id="rId9"/>
    <sheet name="T-9" sheetId="16" r:id="rId10"/>
    <sheet name="T-10.1" sheetId="92" r:id="rId11"/>
    <sheet name="T-10.2" sheetId="138" r:id="rId12"/>
    <sheet name="T-10.3" sheetId="213" r:id="rId13"/>
    <sheet name="T-10.4" sheetId="214" r:id="rId14"/>
    <sheet name="T-11" sheetId="95" r:id="rId15"/>
    <sheet name="T-12" sheetId="98" r:id="rId16"/>
  </sheets>
  <externalReferences>
    <externalReference r:id="rId17"/>
  </externalReferences>
  <definedNames>
    <definedName name="_AtRisk_FitDataRange_FIT_18F24_C6218" hidden="1">#REF!</definedName>
    <definedName name="_AtRisk_FitDataRange_FIT_25FFF_61EF8" hidden="1">#REF!</definedName>
    <definedName name="_AtRisk_FitDataRange_FIT_545C_9EE4E" hidden="1">#REF!</definedName>
    <definedName name="_AtRisk_FitDataRange_FIT_8BB92_BCCEE" hidden="1">#REF!</definedName>
    <definedName name="_AtRisk_FitDataRange_FIT_90501_EC131" hidden="1">#REF!</definedName>
    <definedName name="_AtRisk_FitDataRange_FIT_CF45D_6635C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528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528</definedName>
    <definedName name="_AtRisk_SimSetting_ShowSimulationProgressWindow" hidden="1">TRUE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fred" hidden="1">#REF!</definedName>
    <definedName name="Pal_Workbook_GUID" localSheetId="1" hidden="1">"NZB5PAS3VDH1XTTTDGSSF8GM"</definedName>
    <definedName name="Pal_Workbook_GUID" localSheetId="11" hidden="1">"NZB5PAS3VDH1XTTTDGSSF8GM"</definedName>
    <definedName name="Pal_Workbook_GUID" hidden="1">"FJM6T85A6CQYU9FNDC67VR17"</definedName>
    <definedName name="_xlnm.Print_Area" localSheetId="12">'T-10.3'!$A$1:$F$38</definedName>
    <definedName name="_xlnm.Print_Area" localSheetId="13">'T-10.4'!$A$1:$G$114</definedName>
    <definedName name="_xlnm.Print_Area" localSheetId="15">'T-12'!$A$1:$I$104</definedName>
    <definedName name="_xlnm.Print_Titles" localSheetId="13">'T-10.4'!$1:$4</definedName>
    <definedName name="_xlnm.Print_Titles" localSheetId="15">'T-12'!$1:$7</definedName>
    <definedName name="Q1_Text">'[1]Define Source'!$B$3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3200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7" hidden="1">'T-7'!$D$7</definedName>
    <definedName name="solver_cvg" localSheetId="7" hidden="1">0.0001</definedName>
    <definedName name="solver_drv" localSheetId="7" hidden="1">2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'T-7'!$H$7</definedName>
    <definedName name="solver_pre" localSheetId="7" hidden="1">0.000001</definedName>
    <definedName name="solver_rbv" localSheetId="7" hidden="1">2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0</definedName>
    <definedName name="solver_ver" localSheetId="7" hidden="1">3</definedName>
  </definedNames>
  <calcPr calcId="162913"/>
</workbook>
</file>

<file path=xl/calcChain.xml><?xml version="1.0" encoding="utf-8"?>
<calcChain xmlns="http://schemas.openxmlformats.org/spreadsheetml/2006/main">
  <c r="A96" i="98" l="1"/>
  <c r="F34" i="14" l="1"/>
  <c r="D33" i="14"/>
  <c r="E31" i="14"/>
  <c r="G24" i="95" l="1"/>
  <c r="G11" i="86"/>
  <c r="E23" i="95" l="1"/>
  <c r="E22" i="95"/>
  <c r="E21" i="95"/>
  <c r="E20" i="95"/>
  <c r="E19" i="95"/>
  <c r="E18" i="95"/>
  <c r="E17" i="95"/>
  <c r="E16" i="95"/>
  <c r="E33" i="95"/>
  <c r="E32" i="95"/>
  <c r="E31" i="95"/>
  <c r="E30" i="95"/>
  <c r="E29" i="95"/>
  <c r="E28" i="95"/>
  <c r="E27" i="95"/>
  <c r="E26" i="95"/>
  <c r="E13" i="95"/>
  <c r="E12" i="95"/>
  <c r="E11" i="95"/>
  <c r="E10" i="95"/>
  <c r="E9" i="95"/>
  <c r="E8" i="95"/>
  <c r="E7" i="95"/>
  <c r="E6" i="95"/>
  <c r="A65" i="29" l="1"/>
  <c r="A66" i="29"/>
  <c r="A67" i="29"/>
  <c r="A68" i="29"/>
  <c r="A69" i="29" s="1"/>
  <c r="A70" i="29" s="1"/>
  <c r="A71" i="29" s="1"/>
  <c r="A72" i="29" s="1"/>
  <c r="A73" i="29" s="1"/>
  <c r="A74" i="29" s="1"/>
  <c r="G18" i="138" l="1"/>
  <c r="D18" i="138"/>
  <c r="F17" i="138"/>
  <c r="F16" i="138"/>
  <c r="F15" i="138"/>
  <c r="D14" i="138"/>
  <c r="G12" i="138"/>
  <c r="D12" i="138"/>
  <c r="F11" i="138"/>
  <c r="D17" i="138"/>
  <c r="D11" i="138"/>
  <c r="D8" i="138"/>
  <c r="G56" i="92" l="1"/>
  <c r="G46" i="92"/>
  <c r="H44" i="92"/>
  <c r="H39" i="92"/>
  <c r="G38" i="92"/>
  <c r="G37" i="92"/>
  <c r="H36" i="92"/>
  <c r="G35" i="92"/>
  <c r="G34" i="92"/>
  <c r="C34" i="92"/>
  <c r="C31" i="92"/>
  <c r="G31" i="92"/>
  <c r="C67" i="92" l="1"/>
  <c r="C66" i="92"/>
  <c r="C65" i="92"/>
  <c r="C64" i="92"/>
  <c r="C63" i="92"/>
  <c r="C61" i="92"/>
  <c r="C58" i="92"/>
  <c r="C57" i="92"/>
  <c r="C55" i="92"/>
  <c r="C54" i="92"/>
  <c r="C53" i="92"/>
  <c r="C51" i="92"/>
  <c r="C50" i="92"/>
  <c r="C49" i="92"/>
  <c r="C48" i="92"/>
  <c r="C47" i="92"/>
  <c r="C46" i="92"/>
  <c r="C45" i="92"/>
  <c r="C44" i="92"/>
  <c r="C43" i="92"/>
  <c r="C39" i="92"/>
  <c r="C38" i="92"/>
  <c r="C37" i="92"/>
  <c r="C36" i="92"/>
  <c r="C35" i="92"/>
  <c r="C30" i="92"/>
  <c r="C29" i="92"/>
  <c r="C28" i="92"/>
  <c r="C27" i="92"/>
  <c r="C26" i="92"/>
  <c r="C22" i="92"/>
  <c r="C21" i="92"/>
  <c r="C20" i="92"/>
  <c r="C19" i="92"/>
  <c r="C18" i="92"/>
  <c r="C17" i="92"/>
  <c r="C16" i="92"/>
  <c r="C15" i="92"/>
  <c r="F11" i="16"/>
  <c r="D13" i="16"/>
  <c r="D12" i="16"/>
  <c r="D11" i="16"/>
  <c r="D8" i="16"/>
  <c r="F57" i="14"/>
  <c r="C57" i="14"/>
  <c r="E56" i="14"/>
  <c r="D54" i="14"/>
  <c r="D52" i="14"/>
  <c r="E49" i="14"/>
  <c r="F48" i="14"/>
  <c r="F47" i="14"/>
  <c r="F46" i="14"/>
  <c r="F45" i="14"/>
  <c r="F44" i="14"/>
  <c r="E43" i="14"/>
  <c r="C41" i="14"/>
  <c r="D40" i="14"/>
  <c r="F35" i="14"/>
  <c r="E29" i="14"/>
  <c r="C29" i="14"/>
  <c r="E19" i="14"/>
  <c r="E18" i="14"/>
  <c r="E17" i="14"/>
  <c r="E16" i="14"/>
  <c r="E15" i="14"/>
  <c r="C8" i="14"/>
  <c r="C56" i="14"/>
  <c r="C54" i="14"/>
  <c r="C53" i="14"/>
  <c r="C52" i="14"/>
  <c r="C49" i="14"/>
  <c r="C48" i="14"/>
  <c r="C47" i="14"/>
  <c r="C46" i="14"/>
  <c r="C45" i="14"/>
  <c r="C44" i="14"/>
  <c r="C43" i="14"/>
  <c r="C40" i="14"/>
  <c r="C39" i="14"/>
  <c r="C38" i="14"/>
  <c r="C35" i="14"/>
  <c r="C34" i="14"/>
  <c r="C33" i="14"/>
  <c r="C31" i="14"/>
  <c r="C25" i="14"/>
  <c r="C24" i="14"/>
  <c r="C23" i="14"/>
  <c r="C22" i="14"/>
  <c r="C21" i="14"/>
  <c r="C19" i="14"/>
  <c r="C18" i="14"/>
  <c r="C17" i="14"/>
  <c r="C16" i="14"/>
  <c r="C15" i="14"/>
  <c r="C13" i="14"/>
  <c r="C12" i="14"/>
  <c r="C11" i="14"/>
  <c r="E49" i="89" l="1"/>
  <c r="F47" i="89"/>
  <c r="E39" i="89"/>
  <c r="C39" i="89"/>
  <c r="C38" i="89"/>
  <c r="F37" i="89"/>
  <c r="F34" i="89"/>
  <c r="E33" i="89"/>
  <c r="E32" i="89"/>
  <c r="F31" i="89"/>
  <c r="E30" i="89"/>
  <c r="E29" i="89"/>
  <c r="E27" i="89"/>
  <c r="E25" i="89"/>
  <c r="E26" i="89"/>
  <c r="C26" i="89"/>
  <c r="C25" i="89"/>
  <c r="E24" i="89"/>
  <c r="C24" i="89"/>
  <c r="E23" i="89"/>
  <c r="C23" i="89"/>
  <c r="E22" i="89"/>
  <c r="C6" i="89"/>
  <c r="C55" i="89"/>
  <c r="C54" i="89"/>
  <c r="C53" i="89"/>
  <c r="C51" i="89"/>
  <c r="C50" i="89"/>
  <c r="C49" i="89"/>
  <c r="C48" i="89"/>
  <c r="C46" i="89"/>
  <c r="C44" i="89"/>
  <c r="C43" i="89"/>
  <c r="C42" i="89"/>
  <c r="C41" i="89"/>
  <c r="C40" i="89"/>
  <c r="C37" i="89"/>
  <c r="C36" i="89"/>
  <c r="C34" i="89"/>
  <c r="C33" i="89"/>
  <c r="C32" i="89"/>
  <c r="C31" i="89"/>
  <c r="C27" i="89"/>
  <c r="C29" i="89"/>
  <c r="C20" i="89"/>
  <c r="C19" i="89"/>
  <c r="C18" i="89"/>
  <c r="C17" i="89"/>
  <c r="C16" i="89"/>
  <c r="C14" i="89"/>
  <c r="C13" i="89"/>
  <c r="C12" i="89"/>
  <c r="C11" i="89"/>
  <c r="C10" i="89"/>
  <c r="C8" i="89"/>
  <c r="C7" i="89"/>
  <c r="E40" i="86"/>
  <c r="E33" i="86"/>
  <c r="C28" i="86"/>
  <c r="F25" i="86"/>
  <c r="C45" i="86"/>
  <c r="C44" i="86"/>
  <c r="C43" i="86"/>
  <c r="C42" i="86"/>
  <c r="C41" i="86"/>
  <c r="C40" i="86"/>
  <c r="C39" i="86"/>
  <c r="C38" i="86"/>
  <c r="C37" i="86"/>
  <c r="C36" i="86"/>
  <c r="C35" i="86"/>
  <c r="C34" i="86"/>
  <c r="C33" i="86"/>
  <c r="C32" i="86"/>
  <c r="C31" i="86"/>
  <c r="C23" i="86"/>
  <c r="C22" i="86"/>
  <c r="C21" i="86"/>
  <c r="C20" i="86"/>
  <c r="C19" i="86"/>
  <c r="C18" i="86"/>
  <c r="C17" i="86"/>
  <c r="C16" i="86"/>
  <c r="C11" i="86"/>
  <c r="C10" i="86"/>
  <c r="G12" i="86"/>
  <c r="F28" i="3" l="1"/>
  <c r="A49" i="89" l="1"/>
  <c r="A50" i="89"/>
  <c r="A51" i="89"/>
  <c r="A52" i="89"/>
  <c r="A53" i="89" s="1"/>
  <c r="A54" i="89" s="1"/>
  <c r="A55" i="89" s="1"/>
  <c r="D48" i="98" l="1"/>
  <c r="C48" i="98"/>
  <c r="D89" i="98" l="1"/>
  <c r="C89" i="98"/>
  <c r="D67" i="98"/>
  <c r="D68" i="98"/>
  <c r="D69" i="98"/>
  <c r="D70" i="98"/>
  <c r="D71" i="98"/>
  <c r="D72" i="98"/>
  <c r="D73" i="98"/>
  <c r="D74" i="98"/>
  <c r="D75" i="98"/>
  <c r="D76" i="98"/>
  <c r="D77" i="98"/>
  <c r="D78" i="98"/>
  <c r="D79" i="98"/>
  <c r="D80" i="98"/>
  <c r="D81" i="98"/>
  <c r="D82" i="98"/>
  <c r="D83" i="98"/>
  <c r="D84" i="98"/>
  <c r="D85" i="98"/>
  <c r="D86" i="98"/>
  <c r="D87" i="98"/>
  <c r="D66" i="98"/>
  <c r="C67" i="98"/>
  <c r="C68" i="98"/>
  <c r="C69" i="98"/>
  <c r="C70" i="98"/>
  <c r="C71" i="98"/>
  <c r="C72" i="98"/>
  <c r="C73" i="98"/>
  <c r="C74" i="98"/>
  <c r="C75" i="98"/>
  <c r="C76" i="98"/>
  <c r="C77" i="98"/>
  <c r="C78" i="98"/>
  <c r="C79" i="98"/>
  <c r="C80" i="98"/>
  <c r="C81" i="98"/>
  <c r="C82" i="98"/>
  <c r="C83" i="98"/>
  <c r="C84" i="98"/>
  <c r="C85" i="98"/>
  <c r="C86" i="98"/>
  <c r="C87" i="98"/>
  <c r="C66" i="98"/>
  <c r="D31" i="98"/>
  <c r="C31" i="98"/>
  <c r="B58" i="95" l="1"/>
  <c r="B59" i="95"/>
  <c r="B60" i="95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E12" i="14"/>
  <c r="A34" i="92" l="1"/>
  <c r="A35" i="92"/>
  <c r="A36" i="92"/>
  <c r="A37" i="92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H102" i="98"/>
  <c r="D96" i="98"/>
  <c r="C96" i="98"/>
  <c r="D98" i="98"/>
  <c r="C98" i="98"/>
  <c r="D99" i="98" l="1"/>
  <c r="C99" i="98"/>
  <c r="D27" i="214" l="1"/>
  <c r="G30" i="214" s="1"/>
  <c r="G31" i="214" s="1"/>
  <c r="D26" i="214"/>
  <c r="G28" i="214" s="1"/>
  <c r="G29" i="214" s="1"/>
  <c r="D41" i="214"/>
  <c r="G45" i="214" s="1"/>
  <c r="I102" i="98"/>
  <c r="H101" i="98"/>
  <c r="E101" i="98"/>
  <c r="I101" i="98" s="1"/>
  <c r="H100" i="98"/>
  <c r="E100" i="98"/>
  <c r="I100" i="98" s="1"/>
  <c r="A97" i="98"/>
  <c r="A98" i="98" s="1"/>
  <c r="A99" i="98" s="1"/>
  <c r="A100" i="98" s="1"/>
  <c r="A101" i="98" s="1"/>
  <c r="A102" i="98" s="1"/>
  <c r="A103" i="98" s="1"/>
  <c r="D55" i="214" l="1"/>
  <c r="D102" i="214"/>
  <c r="D108" i="214"/>
  <c r="D87" i="214"/>
  <c r="D104" i="214"/>
  <c r="D89" i="214"/>
  <c r="D51" i="214"/>
  <c r="D36" i="214"/>
  <c r="D57" i="214"/>
  <c r="D49" i="214"/>
  <c r="D34" i="214"/>
  <c r="D43" i="214"/>
  <c r="G46" i="214" s="1"/>
  <c r="D96" i="214"/>
  <c r="D94" i="214"/>
  <c r="G98" i="214" s="1"/>
  <c r="D110" i="214"/>
  <c r="G52" i="214" l="1"/>
  <c r="G105" i="214"/>
  <c r="G111" i="214"/>
  <c r="E35" i="213" s="1"/>
  <c r="F35" i="213" s="1"/>
  <c r="G99" i="214"/>
  <c r="E27" i="213" s="1"/>
  <c r="F27" i="213" s="1"/>
  <c r="G58" i="214"/>
  <c r="E31" i="213"/>
  <c r="F31" i="213" s="1"/>
  <c r="D90" i="214"/>
  <c r="D37" i="214"/>
  <c r="G38" i="214" s="1"/>
  <c r="E26" i="213"/>
  <c r="G91" i="214" l="1"/>
  <c r="E23" i="213" s="1"/>
  <c r="F23" i="213" s="1"/>
  <c r="F26" i="213"/>
  <c r="G99" i="98"/>
  <c r="F99" i="98"/>
  <c r="G98" i="98"/>
  <c r="F98" i="98"/>
  <c r="G45" i="5"/>
  <c r="D45" i="5"/>
  <c r="G96" i="98" l="1"/>
  <c r="F96" i="98"/>
  <c r="A9" i="5"/>
  <c r="A11" i="5" s="1"/>
  <c r="A10" i="5"/>
  <c r="A12" i="5" l="1"/>
  <c r="A13" i="5" s="1"/>
  <c r="A14" i="5" l="1"/>
  <c r="A15" i="5"/>
  <c r="A16" i="5"/>
  <c r="A17" i="5" l="1"/>
  <c r="A18" i="5"/>
  <c r="C27" i="86"/>
  <c r="A20" i="5" l="1"/>
  <c r="A19" i="5"/>
  <c r="E45" i="5"/>
  <c r="F45" i="5"/>
  <c r="H45" i="5"/>
  <c r="I45" i="5"/>
  <c r="C45" i="5"/>
  <c r="A21" i="5" l="1"/>
  <c r="A22" i="5"/>
  <c r="A23" i="5" s="1"/>
  <c r="K34" i="3"/>
  <c r="K40" i="3"/>
  <c r="K41" i="3"/>
  <c r="K46" i="3"/>
  <c r="K47" i="3"/>
  <c r="K48" i="3"/>
  <c r="K49" i="3"/>
  <c r="K33" i="3"/>
  <c r="J34" i="3"/>
  <c r="J40" i="3"/>
  <c r="J41" i="3"/>
  <c r="J46" i="3"/>
  <c r="J47" i="3"/>
  <c r="J48" i="3"/>
  <c r="J49" i="3"/>
  <c r="J33" i="3"/>
  <c r="I34" i="3"/>
  <c r="I40" i="3"/>
  <c r="I41" i="3"/>
  <c r="I46" i="3"/>
  <c r="I47" i="3"/>
  <c r="I48" i="3"/>
  <c r="I49" i="3"/>
  <c r="I33" i="3"/>
  <c r="H34" i="3"/>
  <c r="H40" i="3"/>
  <c r="H41" i="3"/>
  <c r="H46" i="3"/>
  <c r="H47" i="3"/>
  <c r="H48" i="3"/>
  <c r="H49" i="3"/>
  <c r="H33" i="3"/>
  <c r="G34" i="3"/>
  <c r="G40" i="3"/>
  <c r="G41" i="3"/>
  <c r="G46" i="3"/>
  <c r="G47" i="3"/>
  <c r="G48" i="3"/>
  <c r="G49" i="3"/>
  <c r="G33" i="3"/>
  <c r="F34" i="3"/>
  <c r="F40" i="3"/>
  <c r="F41" i="3"/>
  <c r="F46" i="3"/>
  <c r="F47" i="3"/>
  <c r="F48" i="3"/>
  <c r="F49" i="3"/>
  <c r="E34" i="3"/>
  <c r="E40" i="3"/>
  <c r="E41" i="3"/>
  <c r="E46" i="3"/>
  <c r="E47" i="3"/>
  <c r="E48" i="3"/>
  <c r="E49" i="3"/>
  <c r="E33" i="3"/>
  <c r="F33" i="3"/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D7" i="86"/>
  <c r="B91" i="98" l="1"/>
  <c r="B63" i="98"/>
  <c r="E46" i="30" l="1"/>
  <c r="F46" i="30"/>
  <c r="G46" i="30"/>
  <c r="H46" i="30"/>
  <c r="I46" i="30"/>
  <c r="J46" i="30"/>
  <c r="K46" i="30"/>
  <c r="L46" i="30"/>
  <c r="M46" i="30"/>
  <c r="N46" i="30"/>
  <c r="O46" i="30"/>
  <c r="E47" i="30"/>
  <c r="F47" i="30"/>
  <c r="G47" i="30"/>
  <c r="H47" i="30"/>
  <c r="I47" i="30"/>
  <c r="J47" i="30"/>
  <c r="K47" i="30"/>
  <c r="L47" i="30"/>
  <c r="M47" i="30"/>
  <c r="N47" i="30"/>
  <c r="O47" i="30"/>
  <c r="E48" i="30"/>
  <c r="F48" i="30"/>
  <c r="G48" i="30"/>
  <c r="H48" i="30"/>
  <c r="I48" i="30"/>
  <c r="J48" i="30"/>
  <c r="K48" i="30"/>
  <c r="L48" i="30"/>
  <c r="M48" i="30"/>
  <c r="N48" i="30"/>
  <c r="O48" i="30"/>
  <c r="D47" i="30"/>
  <c r="D48" i="30"/>
  <c r="D46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E10" i="30"/>
  <c r="F10" i="30"/>
  <c r="G10" i="30"/>
  <c r="H10" i="30"/>
  <c r="I10" i="30"/>
  <c r="J10" i="30"/>
  <c r="K10" i="30"/>
  <c r="L10" i="30"/>
  <c r="M10" i="30"/>
  <c r="N10" i="30"/>
  <c r="O10" i="30"/>
  <c r="D10" i="30"/>
  <c r="D9" i="30"/>
  <c r="E9" i="30"/>
  <c r="F9" i="30"/>
  <c r="G9" i="30"/>
  <c r="H9" i="30"/>
  <c r="I9" i="30"/>
  <c r="J9" i="30"/>
  <c r="K9" i="30"/>
  <c r="L9" i="30"/>
  <c r="M9" i="30"/>
  <c r="N9" i="30"/>
  <c r="O9" i="30"/>
  <c r="E8" i="30"/>
  <c r="F8" i="30"/>
  <c r="G8" i="30"/>
  <c r="H8" i="30"/>
  <c r="I8" i="30"/>
  <c r="J8" i="30"/>
  <c r="K8" i="30"/>
  <c r="L8" i="30"/>
  <c r="M8" i="30"/>
  <c r="N8" i="30"/>
  <c r="O8" i="30"/>
  <c r="D8" i="30"/>
  <c r="D25" i="30" l="1"/>
  <c r="E25" i="30"/>
  <c r="F25" i="30"/>
  <c r="G25" i="30"/>
  <c r="H25" i="30"/>
  <c r="I25" i="30"/>
  <c r="J25" i="30"/>
  <c r="K25" i="30"/>
  <c r="L25" i="30"/>
  <c r="M25" i="30"/>
  <c r="N25" i="30"/>
  <c r="O25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E24" i="30"/>
  <c r="F24" i="30"/>
  <c r="G24" i="30"/>
  <c r="H24" i="30"/>
  <c r="I24" i="30"/>
  <c r="J24" i="30"/>
  <c r="K24" i="30"/>
  <c r="L24" i="30"/>
  <c r="M24" i="30"/>
  <c r="N24" i="30"/>
  <c r="O24" i="30"/>
  <c r="D24" i="30"/>
  <c r="H138" i="3"/>
  <c r="E138" i="3"/>
  <c r="C137" i="3"/>
  <c r="C138" i="3" l="1"/>
  <c r="E10" i="92" l="1"/>
  <c r="E14" i="92" s="1"/>
  <c r="D10" i="92"/>
  <c r="D14" i="92" s="1"/>
  <c r="F9" i="92"/>
  <c r="I54" i="98" l="1"/>
  <c r="E53" i="98" l="1"/>
  <c r="I53" i="98" s="1"/>
  <c r="E52" i="98"/>
  <c r="I52" i="98" s="1"/>
  <c r="H53" i="98"/>
  <c r="H52" i="98"/>
  <c r="B13" i="98"/>
  <c r="D97" i="98" l="1"/>
  <c r="D103" i="98" s="1"/>
  <c r="E99" i="98"/>
  <c r="D51" i="98"/>
  <c r="C51" i="98"/>
  <c r="C50" i="98"/>
  <c r="D50" i="98"/>
  <c r="D46" i="98"/>
  <c r="C46" i="98"/>
  <c r="C49" i="98"/>
  <c r="D49" i="98"/>
  <c r="E16" i="213"/>
  <c r="E5" i="213"/>
  <c r="A6" i="214"/>
  <c r="A7" i="214" s="1"/>
  <c r="A8" i="214" s="1"/>
  <c r="A9" i="214" s="1"/>
  <c r="A10" i="214" s="1"/>
  <c r="A11" i="214" s="1"/>
  <c r="A12" i="214" s="1"/>
  <c r="A13" i="214" s="1"/>
  <c r="A14" i="214" s="1"/>
  <c r="A15" i="214" s="1"/>
  <c r="A16" i="214" s="1"/>
  <c r="A17" i="214" s="1"/>
  <c r="A18" i="214" s="1"/>
  <c r="A19" i="214" s="1"/>
  <c r="A20" i="214" s="1"/>
  <c r="A21" i="214" s="1"/>
  <c r="A22" i="214" s="1"/>
  <c r="A23" i="214" s="1"/>
  <c r="A24" i="214" s="1"/>
  <c r="A25" i="214" s="1"/>
  <c r="A26" i="214" s="1"/>
  <c r="A27" i="214" s="1"/>
  <c r="A28" i="214" s="1"/>
  <c r="A29" i="214" s="1"/>
  <c r="A30" i="214" s="1"/>
  <c r="A31" i="214" s="1"/>
  <c r="A32" i="214" s="1"/>
  <c r="A33" i="214" s="1"/>
  <c r="A34" i="214" s="1"/>
  <c r="A35" i="214" s="1"/>
  <c r="A36" i="214" s="1"/>
  <c r="A37" i="214" s="1"/>
  <c r="A38" i="214" s="1"/>
  <c r="A39" i="214" s="1"/>
  <c r="A40" i="214" s="1"/>
  <c r="G46" i="98" l="1"/>
  <c r="F5" i="213"/>
  <c r="A41" i="214"/>
  <c r="A42" i="214" s="1"/>
  <c r="A43" i="214" s="1"/>
  <c r="A44" i="214" s="1"/>
  <c r="A45" i="214" s="1"/>
  <c r="A46" i="214" s="1"/>
  <c r="A47" i="214" s="1"/>
  <c r="E19" i="213"/>
  <c r="F19" i="213" s="1"/>
  <c r="E13" i="213"/>
  <c r="F13" i="213" s="1"/>
  <c r="E96" i="98"/>
  <c r="C97" i="98"/>
  <c r="C103" i="98" s="1"/>
  <c r="E98" i="98"/>
  <c r="D47" i="98"/>
  <c r="C47" i="98"/>
  <c r="F16" i="213"/>
  <c r="E7" i="213"/>
  <c r="E8" i="213"/>
  <c r="F8" i="213" s="1"/>
  <c r="F46" i="98"/>
  <c r="A48" i="214" l="1"/>
  <c r="A49" i="214" s="1"/>
  <c r="A50" i="214" s="1"/>
  <c r="A51" i="214" s="1"/>
  <c r="A52" i="214" s="1"/>
  <c r="A53" i="214" s="1"/>
  <c r="A54" i="214" s="1"/>
  <c r="A55" i="214" s="1"/>
  <c r="A56" i="214" s="1"/>
  <c r="A57" i="214" s="1"/>
  <c r="A58" i="214" s="1"/>
  <c r="A59" i="214" s="1"/>
  <c r="A60" i="214" s="1"/>
  <c r="A61" i="214" s="1"/>
  <c r="E97" i="98"/>
  <c r="E103" i="98" s="1"/>
  <c r="G48" i="98"/>
  <c r="F48" i="98"/>
  <c r="F7" i="213"/>
  <c r="H96" i="98"/>
  <c r="I96" i="98" s="1"/>
  <c r="H98" i="98"/>
  <c r="I98" i="98" s="1"/>
  <c r="G50" i="98"/>
  <c r="F50" i="98"/>
  <c r="E9" i="213"/>
  <c r="H46" i="98"/>
  <c r="A5" i="213"/>
  <c r="A6" i="213" s="1"/>
  <c r="A7" i="213" s="1"/>
  <c r="A8" i="213" s="1"/>
  <c r="A9" i="213" s="1"/>
  <c r="A10" i="213" s="1"/>
  <c r="A11" i="213" s="1"/>
  <c r="A12" i="213" s="1"/>
  <c r="A13" i="213" s="1"/>
  <c r="A14" i="213" s="1"/>
  <c r="A15" i="213" s="1"/>
  <c r="A16" i="213" s="1"/>
  <c r="A17" i="213" s="1"/>
  <c r="A18" i="213" s="1"/>
  <c r="A19" i="213" s="1"/>
  <c r="A20" i="213" s="1"/>
  <c r="A21" i="213" s="1"/>
  <c r="A22" i="213" s="1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A34" i="213" s="1"/>
  <c r="A35" i="213" s="1"/>
  <c r="A65" i="214" l="1"/>
  <c r="A66" i="214" s="1"/>
  <c r="A67" i="214" s="1"/>
  <c r="A68" i="214" s="1"/>
  <c r="A69" i="214" s="1"/>
  <c r="A70" i="214" s="1"/>
  <c r="A71" i="214" s="1"/>
  <c r="A72" i="214" s="1"/>
  <c r="A73" i="214" s="1"/>
  <c r="A74" i="214" s="1"/>
  <c r="A75" i="214" s="1"/>
  <c r="A76" i="214" s="1"/>
  <c r="A77" i="214" s="1"/>
  <c r="A78" i="214" s="1"/>
  <c r="A79" i="214" s="1"/>
  <c r="A80" i="214" s="1"/>
  <c r="A81" i="214" s="1"/>
  <c r="A82" i="214" s="1"/>
  <c r="A83" i="214" s="1"/>
  <c r="A84" i="214" s="1"/>
  <c r="A85" i="214" s="1"/>
  <c r="H48" i="98"/>
  <c r="H50" i="98"/>
  <c r="E10" i="213"/>
  <c r="F10" i="213" s="1"/>
  <c r="G51" i="98"/>
  <c r="F51" i="98"/>
  <c r="F9" i="213"/>
  <c r="A86" i="214" l="1"/>
  <c r="A87" i="214" s="1"/>
  <c r="A88" i="214" s="1"/>
  <c r="A89" i="214" s="1"/>
  <c r="A90" i="214" s="1"/>
  <c r="A91" i="214" s="1"/>
  <c r="A92" i="214" s="1"/>
  <c r="A93" i="214" s="1"/>
  <c r="H51" i="98"/>
  <c r="E51" i="98"/>
  <c r="E50" i="98"/>
  <c r="I50" i="98" s="1"/>
  <c r="E49" i="98"/>
  <c r="E48" i="98"/>
  <c r="I48" i="98" s="1"/>
  <c r="E46" i="98"/>
  <c r="E47" i="98"/>
  <c r="A94" i="214" l="1"/>
  <c r="A95" i="214" s="1"/>
  <c r="A96" i="214" s="1"/>
  <c r="A97" i="214" s="1"/>
  <c r="A98" i="214" s="1"/>
  <c r="A99" i="214" s="1"/>
  <c r="A100" i="214" s="1"/>
  <c r="I51" i="98"/>
  <c r="A101" i="214" l="1"/>
  <c r="A102" i="214" s="1"/>
  <c r="A103" i="214" s="1"/>
  <c r="A104" i="214" s="1"/>
  <c r="A105" i="214" s="1"/>
  <c r="A106" i="214" s="1"/>
  <c r="A107" i="214" s="1"/>
  <c r="A108" i="214" s="1"/>
  <c r="A109" i="214" s="1"/>
  <c r="A110" i="214" s="1"/>
  <c r="A111" i="214" s="1"/>
  <c r="G73" i="95"/>
  <c r="G72" i="95"/>
  <c r="G71" i="95"/>
  <c r="G70" i="95"/>
  <c r="G22" i="30"/>
  <c r="N22" i="30"/>
  <c r="O22" i="30"/>
  <c r="M22" i="30"/>
  <c r="K22" i="30"/>
  <c r="I22" i="30"/>
  <c r="L22" i="30" l="1"/>
  <c r="F22" i="30"/>
  <c r="J22" i="30"/>
  <c r="H22" i="30"/>
  <c r="F27" i="3"/>
  <c r="F14" i="3"/>
  <c r="D32" i="134"/>
  <c r="G87" i="98" l="1"/>
  <c r="F87" i="98"/>
  <c r="G86" i="98"/>
  <c r="F86" i="98"/>
  <c r="G85" i="98"/>
  <c r="F85" i="98"/>
  <c r="G84" i="98"/>
  <c r="F84" i="98"/>
  <c r="G83" i="98"/>
  <c r="F83" i="98"/>
  <c r="G82" i="98"/>
  <c r="F82" i="98"/>
  <c r="G81" i="98"/>
  <c r="F81" i="98"/>
  <c r="G80" i="98"/>
  <c r="F80" i="98"/>
  <c r="G79" i="98"/>
  <c r="F79" i="98"/>
  <c r="G78" i="98"/>
  <c r="F78" i="98"/>
  <c r="G77" i="98"/>
  <c r="F77" i="98"/>
  <c r="G76" i="98"/>
  <c r="F76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E82" i="98"/>
  <c r="E81" i="98"/>
  <c r="E76" i="98"/>
  <c r="E66" i="98"/>
  <c r="E74" i="98"/>
  <c r="E73" i="98"/>
  <c r="E72" i="98"/>
  <c r="E71" i="98"/>
  <c r="E70" i="98"/>
  <c r="E85" i="98"/>
  <c r="E88" i="98"/>
  <c r="E87" i="98"/>
  <c r="E69" i="98"/>
  <c r="E77" i="98" l="1"/>
  <c r="E78" i="98"/>
  <c r="C90" i="98"/>
  <c r="E84" i="98"/>
  <c r="E86" i="98"/>
  <c r="E79" i="98"/>
  <c r="E80" i="98"/>
  <c r="E75" i="98"/>
  <c r="E89" i="98"/>
  <c r="E67" i="98"/>
  <c r="E83" i="98" l="1"/>
  <c r="D90" i="98" l="1"/>
  <c r="F66" i="98" l="1"/>
  <c r="E68" i="98"/>
  <c r="G19" i="95" l="1"/>
  <c r="G20" i="95"/>
  <c r="G23" i="95"/>
  <c r="G16" i="95"/>
  <c r="H73" i="95"/>
  <c r="H72" i="95"/>
  <c r="H71" i="95"/>
  <c r="H70" i="95"/>
  <c r="E10" i="86"/>
  <c r="O49" i="30"/>
  <c r="N49" i="30"/>
  <c r="M49" i="30"/>
  <c r="L49" i="30"/>
  <c r="K49" i="30"/>
  <c r="J49" i="30"/>
  <c r="I49" i="30"/>
  <c r="H49" i="30"/>
  <c r="G49" i="30"/>
  <c r="F49" i="30"/>
  <c r="E49" i="30"/>
  <c r="D49" i="30"/>
  <c r="P48" i="30"/>
  <c r="P47" i="30"/>
  <c r="P46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P43" i="30"/>
  <c r="P42" i="30"/>
  <c r="P41" i="30"/>
  <c r="P40" i="30"/>
  <c r="P39" i="30"/>
  <c r="P38" i="30"/>
  <c r="B44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P35" i="30"/>
  <c r="P34" i="30"/>
  <c r="P33" i="30"/>
  <c r="P32" i="30"/>
  <c r="P31" i="30"/>
  <c r="P30" i="30"/>
  <c r="B36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P26" i="30"/>
  <c r="P25" i="30"/>
  <c r="P24" i="30"/>
  <c r="E22" i="30"/>
  <c r="D22" i="30"/>
  <c r="P21" i="30"/>
  <c r="P22" i="30" s="1"/>
  <c r="P20" i="30"/>
  <c r="P19" i="30"/>
  <c r="P18" i="30"/>
  <c r="P17" i="30"/>
  <c r="P16" i="30"/>
  <c r="B22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P13" i="30"/>
  <c r="P12" i="30"/>
  <c r="P11" i="30"/>
  <c r="P10" i="30"/>
  <c r="P9" i="30"/>
  <c r="P8" i="30"/>
  <c r="B14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G22" i="95" l="1"/>
  <c r="H22" i="95" s="1"/>
  <c r="G18" i="95"/>
  <c r="H18" i="95" s="1"/>
  <c r="G21" i="95"/>
  <c r="H21" i="95" s="1"/>
  <c r="G17" i="95"/>
  <c r="H17" i="95" s="1"/>
  <c r="P49" i="30"/>
  <c r="P27" i="30"/>
  <c r="P44" i="30"/>
  <c r="C60" i="98"/>
  <c r="D60" i="98"/>
  <c r="D22" i="98"/>
  <c r="C22" i="98"/>
  <c r="C34" i="98"/>
  <c r="D34" i="98"/>
  <c r="D33" i="98"/>
  <c r="C33" i="98"/>
  <c r="D62" i="98"/>
  <c r="C62" i="98"/>
  <c r="C21" i="98"/>
  <c r="D21" i="98"/>
  <c r="C13" i="98"/>
  <c r="D58" i="98"/>
  <c r="C58" i="98"/>
  <c r="P36" i="30"/>
  <c r="P14" i="30"/>
  <c r="H16" i="95"/>
  <c r="H20" i="95"/>
  <c r="H19" i="95"/>
  <c r="H23" i="95"/>
  <c r="D41" i="98" l="1"/>
  <c r="E21" i="98"/>
  <c r="C41" i="98"/>
  <c r="E22" i="98"/>
  <c r="A46" i="29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C59" i="3" l="1"/>
  <c r="C130" i="3"/>
  <c r="G95" i="3"/>
  <c r="D26" i="134"/>
  <c r="C7" i="98" l="1"/>
  <c r="F4" i="95"/>
  <c r="C4" i="3"/>
  <c r="D4" i="3" s="1"/>
  <c r="A3" i="205"/>
  <c r="D3" i="213" s="1"/>
  <c r="D7" i="98" l="1"/>
  <c r="A4" i="205"/>
  <c r="B12" i="98"/>
  <c r="D4" i="92"/>
  <c r="B16" i="134"/>
  <c r="B9" i="16"/>
  <c r="B9" i="138"/>
  <c r="B21" i="5"/>
  <c r="B15" i="138"/>
  <c r="F7" i="98"/>
  <c r="E7" i="98"/>
  <c r="B7" i="134"/>
  <c r="B7" i="29"/>
  <c r="B24" i="29" s="1"/>
  <c r="B70" i="29"/>
  <c r="E4" i="3"/>
  <c r="B84" i="3" s="1"/>
  <c r="B109" i="3" s="1"/>
  <c r="B56" i="3"/>
  <c r="B81" i="3" s="1"/>
  <c r="B59" i="29" l="1"/>
  <c r="B62" i="29" s="1"/>
  <c r="B8" i="5"/>
  <c r="A5" i="205"/>
  <c r="E4" i="92" l="1"/>
  <c r="B10" i="138"/>
  <c r="F4" i="92"/>
  <c r="H7" i="98"/>
  <c r="B4" i="92"/>
  <c r="B6" i="16"/>
  <c r="G7" i="98"/>
  <c r="B6" i="138"/>
  <c r="B4" i="89"/>
  <c r="E3" i="213"/>
  <c r="B25" i="29"/>
  <c r="B42" i="29" s="1"/>
  <c r="B2" i="95"/>
  <c r="B63" i="29"/>
  <c r="B66" i="29" s="1"/>
  <c r="G4" i="95"/>
  <c r="B16" i="138"/>
  <c r="B10" i="16"/>
  <c r="B72" i="29"/>
  <c r="A2" i="98"/>
  <c r="B6" i="14"/>
  <c r="E4" i="95"/>
  <c r="I30" i="29"/>
  <c r="I42" i="29" s="1"/>
  <c r="J30" i="29"/>
  <c r="J42" i="29" s="1"/>
  <c r="L30" i="29"/>
  <c r="L42" i="29" s="1"/>
  <c r="O30" i="29"/>
  <c r="O42" i="29" s="1"/>
  <c r="N30" i="29"/>
  <c r="N42" i="29" s="1"/>
  <c r="M30" i="29"/>
  <c r="M42" i="29" s="1"/>
  <c r="K30" i="29"/>
  <c r="K42" i="29" s="1"/>
  <c r="H30" i="29"/>
  <c r="H42" i="29" s="1"/>
  <c r="G30" i="29"/>
  <c r="G42" i="29" s="1"/>
  <c r="F30" i="29"/>
  <c r="F42" i="29" s="1"/>
  <c r="E30" i="29"/>
  <c r="E42" i="29" s="1"/>
  <c r="D30" i="29"/>
  <c r="D42" i="29" s="1"/>
  <c r="D12" i="29"/>
  <c r="D24" i="29" s="1"/>
  <c r="D13" i="29"/>
  <c r="D31" i="29"/>
  <c r="J32" i="134" l="1"/>
  <c r="I32" i="134"/>
  <c r="H32" i="134"/>
  <c r="G32" i="134"/>
  <c r="F32" i="134"/>
  <c r="E32" i="134"/>
  <c r="C32" i="134" l="1"/>
  <c r="P10" i="29" l="1"/>
  <c r="J26" i="134" l="1"/>
  <c r="J24" i="134" l="1"/>
  <c r="I24" i="134"/>
  <c r="H24" i="134"/>
  <c r="G24" i="134"/>
  <c r="F24" i="134"/>
  <c r="E24" i="134"/>
  <c r="D24" i="134"/>
  <c r="J15" i="134"/>
  <c r="I15" i="134"/>
  <c r="H15" i="134"/>
  <c r="G15" i="134"/>
  <c r="F15" i="134"/>
  <c r="E15" i="134"/>
  <c r="D15" i="134"/>
  <c r="C24" i="134" l="1"/>
  <c r="G110" i="98" s="1"/>
  <c r="C15" i="134"/>
  <c r="F110" i="98" s="1"/>
  <c r="C17" i="134"/>
  <c r="H110" i="98" l="1"/>
  <c r="C40" i="5"/>
  <c r="D40" i="5"/>
  <c r="E40" i="5"/>
  <c r="G40" i="5"/>
  <c r="H40" i="5"/>
  <c r="I40" i="5"/>
  <c r="D28" i="3" l="1"/>
  <c r="J131" i="3" l="1"/>
  <c r="C132" i="3"/>
  <c r="J133" i="3" s="1"/>
  <c r="K43" i="3" l="1"/>
  <c r="K42" i="3"/>
  <c r="K51" i="3"/>
  <c r="K50" i="3"/>
  <c r="F24" i="3"/>
  <c r="G24" i="3" s="1"/>
  <c r="F25" i="3"/>
  <c r="G25" i="3" s="1"/>
  <c r="F26" i="3"/>
  <c r="G26" i="3" s="1"/>
  <c r="G27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D36" i="29" l="1"/>
  <c r="D40" i="29"/>
  <c r="D44" i="29"/>
  <c r="A6" i="3" l="1"/>
  <c r="A7" i="3" l="1"/>
  <c r="A8" i="3"/>
  <c r="A9" i="3" l="1"/>
  <c r="A10" i="3" s="1"/>
  <c r="A11" i="3" l="1"/>
  <c r="A12" i="3" l="1"/>
  <c r="A13" i="3" s="1"/>
  <c r="A14" i="3" l="1"/>
  <c r="A15" i="3" s="1"/>
  <c r="A16" i="3" s="1"/>
  <c r="A22" i="3" l="1"/>
  <c r="A23" i="3" s="1"/>
  <c r="A24" i="3" s="1"/>
  <c r="A25" i="3" s="1"/>
  <c r="A26" i="3" s="1"/>
  <c r="A27" i="3" s="1"/>
  <c r="A28" i="3" l="1"/>
  <c r="D45" i="29" l="1"/>
  <c r="D48" i="29"/>
  <c r="A9" i="98" l="1"/>
  <c r="A10" i="98" s="1"/>
  <c r="A11" i="98" s="1"/>
  <c r="A12" i="98" s="1"/>
  <c r="A13" i="98" s="1"/>
  <c r="A14" i="98" s="1"/>
  <c r="A15" i="98" s="1"/>
  <c r="A16" i="98" s="1"/>
  <c r="G26" i="134" l="1"/>
  <c r="D123" i="3"/>
  <c r="E26" i="134"/>
  <c r="E123" i="3" s="1"/>
  <c r="H26" i="134"/>
  <c r="I26" i="134"/>
  <c r="G123" i="3" s="1"/>
  <c r="F26" i="134"/>
  <c r="H123" i="3" s="1"/>
  <c r="E33" i="134"/>
  <c r="E9" i="5"/>
  <c r="E22" i="5"/>
  <c r="F22" i="5"/>
  <c r="G9" i="5"/>
  <c r="G22" i="5"/>
  <c r="H9" i="5"/>
  <c r="H22" i="5"/>
  <c r="I22" i="5"/>
  <c r="I53" i="5"/>
  <c r="C53" i="5"/>
  <c r="D53" i="5"/>
  <c r="E53" i="5"/>
  <c r="G53" i="5"/>
  <c r="H53" i="5"/>
  <c r="I59" i="5"/>
  <c r="C59" i="5"/>
  <c r="D59" i="5"/>
  <c r="E59" i="5"/>
  <c r="G59" i="5"/>
  <c r="I55" i="5"/>
  <c r="C55" i="5"/>
  <c r="D55" i="5"/>
  <c r="E55" i="5"/>
  <c r="G55" i="5"/>
  <c r="H55" i="5"/>
  <c r="I61" i="5"/>
  <c r="C61" i="5"/>
  <c r="D61" i="5"/>
  <c r="E61" i="5"/>
  <c r="G61" i="5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G14" i="3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C28" i="3"/>
  <c r="C131" i="3"/>
  <c r="C133" i="3"/>
  <c r="A17" i="98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I46" i="98"/>
  <c r="E60" i="98"/>
  <c r="E62" i="98"/>
  <c r="B66" i="98"/>
  <c r="B67" i="98"/>
  <c r="B68" i="98"/>
  <c r="B69" i="98"/>
  <c r="B70" i="98"/>
  <c r="B71" i="98"/>
  <c r="B72" i="98"/>
  <c r="B73" i="98"/>
  <c r="B74" i="98"/>
  <c r="B75" i="98"/>
  <c r="B76" i="98"/>
  <c r="B77" i="98"/>
  <c r="B78" i="98"/>
  <c r="B79" i="98"/>
  <c r="B80" i="98"/>
  <c r="B81" i="98"/>
  <c r="B82" i="98"/>
  <c r="B83" i="98"/>
  <c r="B84" i="98"/>
  <c r="B85" i="98"/>
  <c r="B86" i="98"/>
  <c r="B87" i="98"/>
  <c r="B6" i="95"/>
  <c r="B7" i="95" s="1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A9" i="138"/>
  <c r="A10" i="138" s="1"/>
  <c r="A11" i="138" s="1"/>
  <c r="A7" i="92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F7" i="92"/>
  <c r="F8" i="92"/>
  <c r="F11" i="92"/>
  <c r="F12" i="92"/>
  <c r="F13" i="92"/>
  <c r="D16" i="92"/>
  <c r="E16" i="92"/>
  <c r="D17" i="92"/>
  <c r="E17" i="92"/>
  <c r="F68" i="92"/>
  <c r="E118" i="3" s="1"/>
  <c r="A9" i="16"/>
  <c r="A10" i="16" s="1"/>
  <c r="A7" i="14"/>
  <c r="A6" i="89"/>
  <c r="A7" i="89" s="1"/>
  <c r="A7" i="86"/>
  <c r="A7" i="29"/>
  <c r="A8" i="29" s="1"/>
  <c r="P8" i="29"/>
  <c r="P9" i="29"/>
  <c r="P11" i="29"/>
  <c r="E12" i="29"/>
  <c r="E24" i="29" s="1"/>
  <c r="F12" i="29"/>
  <c r="F24" i="29" s="1"/>
  <c r="G12" i="29"/>
  <c r="G24" i="29" s="1"/>
  <c r="H12" i="29"/>
  <c r="H24" i="29" s="1"/>
  <c r="I12" i="29"/>
  <c r="I24" i="29" s="1"/>
  <c r="J12" i="29"/>
  <c r="J24" i="29" s="1"/>
  <c r="K12" i="29"/>
  <c r="K24" i="29" s="1"/>
  <c r="L12" i="29"/>
  <c r="L24" i="29" s="1"/>
  <c r="M12" i="29"/>
  <c r="M24" i="29" s="1"/>
  <c r="N12" i="29"/>
  <c r="N24" i="29" s="1"/>
  <c r="O12" i="29"/>
  <c r="O24" i="29" s="1"/>
  <c r="E13" i="29"/>
  <c r="F13" i="29"/>
  <c r="G13" i="29"/>
  <c r="H13" i="29"/>
  <c r="I13" i="29"/>
  <c r="J13" i="29"/>
  <c r="K13" i="29"/>
  <c r="L13" i="29"/>
  <c r="M13" i="29"/>
  <c r="N13" i="29"/>
  <c r="O13" i="29"/>
  <c r="P14" i="29"/>
  <c r="P15" i="29"/>
  <c r="P17" i="29"/>
  <c r="C17" i="98" s="1"/>
  <c r="C42" i="98" s="1"/>
  <c r="D18" i="29"/>
  <c r="E18" i="29"/>
  <c r="F18" i="29"/>
  <c r="G18" i="29"/>
  <c r="H18" i="29"/>
  <c r="I18" i="29"/>
  <c r="J18" i="29"/>
  <c r="K18" i="29"/>
  <c r="L18" i="29"/>
  <c r="M18" i="29"/>
  <c r="N18" i="29"/>
  <c r="O18" i="29"/>
  <c r="P21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6" i="29"/>
  <c r="P27" i="29"/>
  <c r="P28" i="29"/>
  <c r="P29" i="29"/>
  <c r="E31" i="29"/>
  <c r="F31" i="29"/>
  <c r="G31" i="29"/>
  <c r="H31" i="29"/>
  <c r="I31" i="29"/>
  <c r="J31" i="29"/>
  <c r="K31" i="29"/>
  <c r="L31" i="29"/>
  <c r="M31" i="29"/>
  <c r="N31" i="29"/>
  <c r="O31" i="29"/>
  <c r="P32" i="29"/>
  <c r="P48" i="29" s="1"/>
  <c r="P33" i="29"/>
  <c r="P35" i="29"/>
  <c r="D17" i="98" s="1"/>
  <c r="D42" i="98" s="1"/>
  <c r="E36" i="29"/>
  <c r="F36" i="29"/>
  <c r="G36" i="29"/>
  <c r="H36" i="29"/>
  <c r="I36" i="29"/>
  <c r="J36" i="29"/>
  <c r="K36" i="29"/>
  <c r="L36" i="29"/>
  <c r="M36" i="29"/>
  <c r="N36" i="29"/>
  <c r="O36" i="29"/>
  <c r="P39" i="29"/>
  <c r="P54" i="29" s="1"/>
  <c r="E40" i="29"/>
  <c r="F40" i="29"/>
  <c r="G40" i="29"/>
  <c r="H40" i="29"/>
  <c r="I40" i="29"/>
  <c r="J40" i="29"/>
  <c r="K40" i="29"/>
  <c r="L40" i="29"/>
  <c r="M40" i="29"/>
  <c r="N40" i="29"/>
  <c r="O40" i="29"/>
  <c r="O55" i="29" s="1"/>
  <c r="E44" i="29"/>
  <c r="F44" i="29"/>
  <c r="G44" i="29"/>
  <c r="H44" i="29"/>
  <c r="I44" i="29"/>
  <c r="J44" i="29"/>
  <c r="K44" i="29"/>
  <c r="L44" i="29"/>
  <c r="M44" i="29"/>
  <c r="N44" i="29"/>
  <c r="O44" i="29"/>
  <c r="E45" i="29"/>
  <c r="F45" i="29"/>
  <c r="G45" i="29"/>
  <c r="H45" i="29"/>
  <c r="I45" i="29"/>
  <c r="J45" i="29"/>
  <c r="K45" i="29"/>
  <c r="L45" i="29"/>
  <c r="M45" i="29"/>
  <c r="N45" i="29"/>
  <c r="O45" i="29"/>
  <c r="E48" i="29"/>
  <c r="F48" i="29"/>
  <c r="G48" i="29"/>
  <c r="H48" i="29"/>
  <c r="I48" i="29"/>
  <c r="J48" i="29"/>
  <c r="K48" i="29"/>
  <c r="L48" i="29"/>
  <c r="M48" i="29"/>
  <c r="N48" i="29"/>
  <c r="O48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60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P64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71" i="29"/>
  <c r="C30" i="98" s="1"/>
  <c r="P73" i="29"/>
  <c r="D30" i="98" s="1"/>
  <c r="E74" i="29"/>
  <c r="F74" i="29"/>
  <c r="G74" i="29"/>
  <c r="H74" i="29"/>
  <c r="I74" i="29"/>
  <c r="J74" i="29"/>
  <c r="K74" i="29"/>
  <c r="L74" i="29"/>
  <c r="M74" i="29"/>
  <c r="N74" i="29"/>
  <c r="O74" i="29"/>
  <c r="A8" i="5"/>
  <c r="C37" i="5"/>
  <c r="D37" i="5"/>
  <c r="E37" i="5"/>
  <c r="F37" i="5"/>
  <c r="G37" i="5"/>
  <c r="H37" i="5"/>
  <c r="I37" i="5"/>
  <c r="C38" i="5"/>
  <c r="D38" i="5"/>
  <c r="E38" i="5"/>
  <c r="F38" i="5"/>
  <c r="G38" i="5"/>
  <c r="H38" i="5"/>
  <c r="I38" i="5"/>
  <c r="C39" i="5"/>
  <c r="D39" i="5"/>
  <c r="E39" i="5"/>
  <c r="G39" i="5"/>
  <c r="H39" i="5"/>
  <c r="I39" i="5"/>
  <c r="C41" i="5"/>
  <c r="D41" i="5"/>
  <c r="E41" i="5"/>
  <c r="F41" i="5"/>
  <c r="G41" i="5"/>
  <c r="H41" i="5"/>
  <c r="I41" i="5"/>
  <c r="C42" i="5"/>
  <c r="D42" i="5"/>
  <c r="E42" i="5"/>
  <c r="F42" i="5"/>
  <c r="G42" i="5"/>
  <c r="H42" i="5"/>
  <c r="I42" i="5"/>
  <c r="F6" i="3"/>
  <c r="G6" i="3" s="1"/>
  <c r="E28" i="3"/>
  <c r="D33" i="3"/>
  <c r="D40" i="3"/>
  <c r="D41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D131" i="3"/>
  <c r="E131" i="3"/>
  <c r="F131" i="3"/>
  <c r="G131" i="3"/>
  <c r="H131" i="3"/>
  <c r="F133" i="3"/>
  <c r="D133" i="3"/>
  <c r="E133" i="3"/>
  <c r="H133" i="3"/>
  <c r="A7" i="134"/>
  <c r="A8" i="134" s="1"/>
  <c r="A9" i="134" s="1"/>
  <c r="C8" i="134"/>
  <c r="G9" i="134" s="1"/>
  <c r="C10" i="134"/>
  <c r="C11" i="134"/>
  <c r="C12" i="134"/>
  <c r="C13" i="134"/>
  <c r="C14" i="134"/>
  <c r="C22" i="5"/>
  <c r="E18" i="134"/>
  <c r="C19" i="134"/>
  <c r="C20" i="134"/>
  <c r="C21" i="134"/>
  <c r="C22" i="134"/>
  <c r="C23" i="134"/>
  <c r="B28" i="134"/>
  <c r="D28" i="134"/>
  <c r="E28" i="134"/>
  <c r="F28" i="134"/>
  <c r="G28" i="134"/>
  <c r="H28" i="134"/>
  <c r="I28" i="134"/>
  <c r="J28" i="134"/>
  <c r="B29" i="134"/>
  <c r="D29" i="134"/>
  <c r="E29" i="134"/>
  <c r="F29" i="134"/>
  <c r="G29" i="134"/>
  <c r="H29" i="134"/>
  <c r="I29" i="134"/>
  <c r="J29" i="134"/>
  <c r="B30" i="134"/>
  <c r="D30" i="134"/>
  <c r="E30" i="134"/>
  <c r="F30" i="134"/>
  <c r="G30" i="134"/>
  <c r="H30" i="134"/>
  <c r="I30" i="134"/>
  <c r="J30" i="134"/>
  <c r="B31" i="134"/>
  <c r="D31" i="134"/>
  <c r="E31" i="134"/>
  <c r="F31" i="134"/>
  <c r="G31" i="134"/>
  <c r="H31" i="134"/>
  <c r="I31" i="134"/>
  <c r="J31" i="134"/>
  <c r="B32" i="134"/>
  <c r="I133" i="3"/>
  <c r="G133" i="3"/>
  <c r="I131" i="3"/>
  <c r="A11" i="16"/>
  <c r="E58" i="98"/>
  <c r="A8" i="14"/>
  <c r="A9" i="14" s="1"/>
  <c r="A10" i="14"/>
  <c r="A8" i="89"/>
  <c r="A12" i="138"/>
  <c r="A13" i="138" s="1"/>
  <c r="A14" i="138" s="1"/>
  <c r="D9" i="5"/>
  <c r="F9" i="5"/>
  <c r="J123" i="3"/>
  <c r="C36" i="98" l="1"/>
  <c r="A26" i="92"/>
  <c r="A27" i="92" s="1"/>
  <c r="A28" i="92" s="1"/>
  <c r="A29" i="92" s="1"/>
  <c r="A30" i="92" s="1"/>
  <c r="A31" i="92" s="1"/>
  <c r="A32" i="92" s="1"/>
  <c r="A33" i="92" s="1"/>
  <c r="H42" i="3"/>
  <c r="F68" i="3" s="1"/>
  <c r="H43" i="3"/>
  <c r="G43" i="3"/>
  <c r="E69" i="3" s="1"/>
  <c r="G42" i="3"/>
  <c r="E68" i="3" s="1"/>
  <c r="J42" i="3"/>
  <c r="J43" i="3"/>
  <c r="H69" i="3" s="1"/>
  <c r="I43" i="3"/>
  <c r="I42" i="3"/>
  <c r="G68" i="3" s="1"/>
  <c r="F42" i="3"/>
  <c r="D96" i="3" s="1"/>
  <c r="F43" i="3"/>
  <c r="E43" i="3"/>
  <c r="E42" i="3"/>
  <c r="C96" i="3" s="1"/>
  <c r="F50" i="3"/>
  <c r="F51" i="3"/>
  <c r="E50" i="3"/>
  <c r="E51" i="3"/>
  <c r="I50" i="3"/>
  <c r="I51" i="3"/>
  <c r="H50" i="3"/>
  <c r="H51" i="3"/>
  <c r="J50" i="3"/>
  <c r="J51" i="3"/>
  <c r="G50" i="3"/>
  <c r="G51" i="3"/>
  <c r="D10" i="98"/>
  <c r="D9" i="98"/>
  <c r="C9" i="98"/>
  <c r="C10" i="98"/>
  <c r="E27" i="86"/>
  <c r="D36" i="98"/>
  <c r="A32" i="98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I68" i="29"/>
  <c r="F68" i="29"/>
  <c r="H68" i="29"/>
  <c r="L68" i="29"/>
  <c r="P74" i="29"/>
  <c r="E41" i="14" s="1"/>
  <c r="F69" i="3"/>
  <c r="I68" i="3"/>
  <c r="G69" i="3"/>
  <c r="I59" i="3"/>
  <c r="D97" i="3"/>
  <c r="A10" i="134"/>
  <c r="L47" i="29"/>
  <c r="J47" i="29"/>
  <c r="F47" i="29"/>
  <c r="F51" i="29"/>
  <c r="K55" i="29"/>
  <c r="F16" i="92"/>
  <c r="L46" i="29"/>
  <c r="K47" i="29"/>
  <c r="P50" i="29"/>
  <c r="E12" i="89" s="1"/>
  <c r="N55" i="29"/>
  <c r="P36" i="29"/>
  <c r="H51" i="29"/>
  <c r="L51" i="29"/>
  <c r="E46" i="29"/>
  <c r="E47" i="29"/>
  <c r="G55" i="29"/>
  <c r="E55" i="29"/>
  <c r="E51" i="29"/>
  <c r="O51" i="29"/>
  <c r="I51" i="29"/>
  <c r="N51" i="29"/>
  <c r="M46" i="29"/>
  <c r="G47" i="29"/>
  <c r="H9" i="134"/>
  <c r="J9" i="134"/>
  <c r="H72" i="98"/>
  <c r="A11" i="14"/>
  <c r="I18" i="134"/>
  <c r="F18" i="134"/>
  <c r="F123" i="3"/>
  <c r="J53" i="5"/>
  <c r="H54" i="5" s="1"/>
  <c r="E30" i="98"/>
  <c r="B25" i="95"/>
  <c r="B26" i="95" s="1"/>
  <c r="B27" i="95" s="1"/>
  <c r="B28" i="95" s="1"/>
  <c r="B29" i="95" s="1"/>
  <c r="B30" i="95" s="1"/>
  <c r="I123" i="3"/>
  <c r="H86" i="98"/>
  <c r="H88" i="3"/>
  <c r="H74" i="98"/>
  <c r="H73" i="98"/>
  <c r="H66" i="98"/>
  <c r="I66" i="98" s="1"/>
  <c r="F17" i="92"/>
  <c r="E14" i="138"/>
  <c r="G61" i="95" s="1"/>
  <c r="E8" i="138"/>
  <c r="G59" i="95" s="1"/>
  <c r="M47" i="29"/>
  <c r="J33" i="134"/>
  <c r="D33" i="134"/>
  <c r="D9" i="134"/>
  <c r="J59" i="5"/>
  <c r="D60" i="5" s="1"/>
  <c r="G60" i="3"/>
  <c r="C88" i="3"/>
  <c r="P45" i="29"/>
  <c r="H87" i="98"/>
  <c r="H77" i="98"/>
  <c r="H70" i="98"/>
  <c r="H69" i="98"/>
  <c r="H84" i="98"/>
  <c r="I96" i="3"/>
  <c r="I67" i="3"/>
  <c r="E67" i="3"/>
  <c r="H67" i="3"/>
  <c r="D67" i="3"/>
  <c r="G67" i="3"/>
  <c r="C67" i="3"/>
  <c r="F67" i="3"/>
  <c r="I60" i="3"/>
  <c r="E60" i="3"/>
  <c r="D60" i="3"/>
  <c r="F60" i="3"/>
  <c r="H95" i="3"/>
  <c r="D95" i="3"/>
  <c r="C95" i="3"/>
  <c r="F95" i="3"/>
  <c r="I95" i="3"/>
  <c r="E95" i="3"/>
  <c r="D88" i="3"/>
  <c r="F88" i="3"/>
  <c r="I88" i="3"/>
  <c r="E88" i="3"/>
  <c r="H66" i="3"/>
  <c r="D66" i="3"/>
  <c r="G66" i="3"/>
  <c r="C66" i="3"/>
  <c r="F66" i="3"/>
  <c r="I66" i="3"/>
  <c r="E66" i="3"/>
  <c r="H59" i="3"/>
  <c r="D59" i="3"/>
  <c r="G59" i="3"/>
  <c r="F59" i="3"/>
  <c r="E59" i="3"/>
  <c r="G94" i="3"/>
  <c r="C94" i="3"/>
  <c r="F94" i="3"/>
  <c r="I94" i="3"/>
  <c r="E94" i="3"/>
  <c r="H94" i="3"/>
  <c r="D94" i="3"/>
  <c r="G87" i="3"/>
  <c r="C87" i="3"/>
  <c r="F87" i="3"/>
  <c r="I87" i="3"/>
  <c r="E87" i="3"/>
  <c r="H87" i="3"/>
  <c r="D87" i="3"/>
  <c r="C68" i="3"/>
  <c r="E33" i="98"/>
  <c r="N47" i="29"/>
  <c r="D47" i="29"/>
  <c r="D57" i="29"/>
  <c r="D46" i="29"/>
  <c r="I69" i="3"/>
  <c r="C69" i="3"/>
  <c r="I97" i="3"/>
  <c r="C97" i="3"/>
  <c r="A8" i="86"/>
  <c r="A9" i="86" s="1"/>
  <c r="A10" i="86" s="1"/>
  <c r="H33" i="134"/>
  <c r="E35" i="5"/>
  <c r="I9" i="5"/>
  <c r="C9" i="5"/>
  <c r="D22" i="5"/>
  <c r="D35" i="5" s="1"/>
  <c r="F35" i="5"/>
  <c r="I33" i="134"/>
  <c r="G33" i="134"/>
  <c r="C30" i="134"/>
  <c r="C29" i="134"/>
  <c r="C28" i="134"/>
  <c r="H76" i="98"/>
  <c r="H83" i="98"/>
  <c r="H80" i="98"/>
  <c r="H78" i="98"/>
  <c r="H75" i="98"/>
  <c r="H18" i="134"/>
  <c r="C26" i="134"/>
  <c r="E27" i="134" s="1"/>
  <c r="J55" i="5"/>
  <c r="C31" i="134"/>
  <c r="G18" i="134"/>
  <c r="J18" i="134"/>
  <c r="D18" i="134"/>
  <c r="E9" i="134"/>
  <c r="G26" i="92"/>
  <c r="E15" i="89"/>
  <c r="P40" i="29"/>
  <c r="K51" i="29"/>
  <c r="O68" i="29"/>
  <c r="P23" i="29"/>
  <c r="P18" i="29"/>
  <c r="C16" i="98" s="1"/>
  <c r="G68" i="29"/>
  <c r="M68" i="29"/>
  <c r="J68" i="29"/>
  <c r="P13" i="29"/>
  <c r="C20" i="98" s="1"/>
  <c r="P41" i="29"/>
  <c r="F46" i="29"/>
  <c r="H55" i="29"/>
  <c r="K57" i="29"/>
  <c r="P44" i="29"/>
  <c r="L57" i="29"/>
  <c r="F10" i="92"/>
  <c r="G35" i="5"/>
  <c r="H35" i="5"/>
  <c r="J61" i="5"/>
  <c r="F9" i="134"/>
  <c r="I9" i="134"/>
  <c r="E68" i="29"/>
  <c r="P66" i="29"/>
  <c r="D32" i="98" s="1"/>
  <c r="K68" i="29"/>
  <c r="N68" i="29"/>
  <c r="P62" i="29"/>
  <c r="C32" i="98" s="1"/>
  <c r="C37" i="98" s="1"/>
  <c r="F57" i="29"/>
  <c r="K46" i="29"/>
  <c r="O47" i="29"/>
  <c r="H47" i="29"/>
  <c r="P31" i="29"/>
  <c r="D20" i="98" s="1"/>
  <c r="I47" i="29"/>
  <c r="P12" i="29"/>
  <c r="P22" i="29"/>
  <c r="L55" i="29"/>
  <c r="F55" i="29"/>
  <c r="P19" i="29"/>
  <c r="I55" i="29"/>
  <c r="P37" i="29"/>
  <c r="J55" i="29"/>
  <c r="D55" i="29"/>
  <c r="M55" i="29"/>
  <c r="M51" i="29"/>
  <c r="N57" i="29"/>
  <c r="J51" i="29"/>
  <c r="E42" i="98"/>
  <c r="G51" i="29"/>
  <c r="O57" i="29"/>
  <c r="G57" i="29"/>
  <c r="E17" i="98"/>
  <c r="M57" i="29"/>
  <c r="H57" i="29"/>
  <c r="H79" i="98"/>
  <c r="G28" i="3"/>
  <c r="H82" i="98"/>
  <c r="H68" i="98"/>
  <c r="H85" i="98"/>
  <c r="A15" i="138"/>
  <c r="A9" i="89"/>
  <c r="A10" i="89" s="1"/>
  <c r="A12" i="16"/>
  <c r="H81" i="98"/>
  <c r="A11" i="134"/>
  <c r="A11" i="86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I57" i="29"/>
  <c r="D68" i="29"/>
  <c r="I46" i="29"/>
  <c r="O46" i="29"/>
  <c r="H46" i="29"/>
  <c r="D51" i="29"/>
  <c r="E57" i="29"/>
  <c r="N46" i="29"/>
  <c r="G46" i="29"/>
  <c r="J57" i="29"/>
  <c r="P30" i="29"/>
  <c r="J46" i="29"/>
  <c r="F33" i="134"/>
  <c r="C44" i="98" l="1"/>
  <c r="D44" i="98"/>
  <c r="C35" i="5"/>
  <c r="I35" i="5"/>
  <c r="E10" i="98"/>
  <c r="D38" i="14"/>
  <c r="D11" i="98"/>
  <c r="D14" i="98"/>
  <c r="C11" i="98"/>
  <c r="E9" i="98"/>
  <c r="C14" i="98"/>
  <c r="G62" i="98"/>
  <c r="F62" i="98"/>
  <c r="H61" i="95"/>
  <c r="H59" i="95"/>
  <c r="F60" i="98"/>
  <c r="G60" i="98"/>
  <c r="G89" i="98"/>
  <c r="D37" i="98"/>
  <c r="E32" i="98"/>
  <c r="D40" i="98"/>
  <c r="D43" i="98" s="1"/>
  <c r="D16" i="98"/>
  <c r="D18" i="98" s="1"/>
  <c r="P42" i="29"/>
  <c r="D19" i="98"/>
  <c r="C40" i="98"/>
  <c r="C43" i="98" s="1"/>
  <c r="E20" i="98"/>
  <c r="C19" i="98"/>
  <c r="P24" i="29"/>
  <c r="C123" i="3"/>
  <c r="E124" i="3" s="1"/>
  <c r="H97" i="3"/>
  <c r="G97" i="3"/>
  <c r="F96" i="3"/>
  <c r="D43" i="3"/>
  <c r="D69" i="3"/>
  <c r="F97" i="3"/>
  <c r="D42" i="3"/>
  <c r="E97" i="3"/>
  <c r="H96" i="3"/>
  <c r="D68" i="3"/>
  <c r="H68" i="3"/>
  <c r="E96" i="3"/>
  <c r="G96" i="3"/>
  <c r="I72" i="98"/>
  <c r="I68" i="98"/>
  <c r="H67" i="98"/>
  <c r="I67" i="98" s="1"/>
  <c r="I74" i="98"/>
  <c r="I73" i="98"/>
  <c r="I70" i="98"/>
  <c r="I84" i="98"/>
  <c r="I85" i="98"/>
  <c r="F14" i="92"/>
  <c r="D118" i="3" s="1"/>
  <c r="C118" i="3" s="1"/>
  <c r="I69" i="98"/>
  <c r="E34" i="98"/>
  <c r="E18" i="89"/>
  <c r="G54" i="5"/>
  <c r="E19" i="89"/>
  <c r="E20" i="89"/>
  <c r="P51" i="29"/>
  <c r="I77" i="98"/>
  <c r="E13" i="14"/>
  <c r="A12" i="14"/>
  <c r="F54" i="5"/>
  <c r="I76" i="98"/>
  <c r="I82" i="98"/>
  <c r="I86" i="98"/>
  <c r="I81" i="98"/>
  <c r="I78" i="98"/>
  <c r="A13" i="14"/>
  <c r="I54" i="5"/>
  <c r="D54" i="5"/>
  <c r="E54" i="5"/>
  <c r="C54" i="5"/>
  <c r="B31" i="95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45" i="95" s="1"/>
  <c r="B46" i="95" s="1"/>
  <c r="B47" i="95" s="1"/>
  <c r="B48" i="95" s="1"/>
  <c r="B49" i="95" s="1"/>
  <c r="B50" i="95" s="1"/>
  <c r="B51" i="95" s="1"/>
  <c r="B52" i="95" s="1"/>
  <c r="B53" i="95" s="1"/>
  <c r="B54" i="95" s="1"/>
  <c r="B55" i="95" s="1"/>
  <c r="B56" i="95" s="1"/>
  <c r="B57" i="95" s="1"/>
  <c r="I87" i="98"/>
  <c r="I80" i="98"/>
  <c r="G88" i="3"/>
  <c r="H60" i="3"/>
  <c r="I83" i="98"/>
  <c r="D34" i="3"/>
  <c r="H27" i="134"/>
  <c r="F60" i="5"/>
  <c r="G60" i="5"/>
  <c r="I60" i="5"/>
  <c r="H60" i="5"/>
  <c r="C60" i="5"/>
  <c r="E60" i="5"/>
  <c r="C60" i="3"/>
  <c r="I79" i="98"/>
  <c r="I75" i="98"/>
  <c r="P47" i="29"/>
  <c r="J27" i="134"/>
  <c r="G27" i="134"/>
  <c r="F27" i="134"/>
  <c r="D27" i="134"/>
  <c r="I27" i="134"/>
  <c r="C33" i="134"/>
  <c r="C119" i="3" s="1"/>
  <c r="H120" i="3" s="1"/>
  <c r="F56" i="5"/>
  <c r="H56" i="5"/>
  <c r="E56" i="5"/>
  <c r="I56" i="5"/>
  <c r="C56" i="5"/>
  <c r="G56" i="5"/>
  <c r="D56" i="5"/>
  <c r="P55" i="29"/>
  <c r="E16" i="89" s="1"/>
  <c r="P52" i="29"/>
  <c r="E14" i="89" s="1"/>
  <c r="C18" i="98"/>
  <c r="C62" i="5"/>
  <c r="H62" i="5"/>
  <c r="D62" i="5"/>
  <c r="F62" i="5"/>
  <c r="E62" i="5"/>
  <c r="I62" i="5"/>
  <c r="G62" i="5"/>
  <c r="P68" i="29"/>
  <c r="P56" i="29"/>
  <c r="E17" i="89" s="1"/>
  <c r="A12" i="86"/>
  <c r="A13" i="86" s="1"/>
  <c r="A14" i="86" s="1"/>
  <c r="A15" i="86" s="1"/>
  <c r="A16" i="138"/>
  <c r="A17" i="138" s="1"/>
  <c r="A13" i="16"/>
  <c r="A12" i="134"/>
  <c r="A13" i="134" s="1"/>
  <c r="A11" i="89"/>
  <c r="P46" i="29"/>
  <c r="E11" i="89" s="1"/>
  <c r="H71" i="98"/>
  <c r="I71" i="98" s="1"/>
  <c r="E43" i="98" l="1"/>
  <c r="E16" i="98"/>
  <c r="E18" i="98" s="1"/>
  <c r="C24" i="98"/>
  <c r="D26" i="98"/>
  <c r="D24" i="98"/>
  <c r="E40" i="98"/>
  <c r="E11" i="98"/>
  <c r="E14" i="98"/>
  <c r="C26" i="98"/>
  <c r="D23" i="98"/>
  <c r="G25" i="92"/>
  <c r="E19" i="98"/>
  <c r="E23" i="98" s="1"/>
  <c r="C23" i="98"/>
  <c r="G53" i="95"/>
  <c r="F89" i="98"/>
  <c r="E13" i="89"/>
  <c r="E41" i="98"/>
  <c r="G28" i="92"/>
  <c r="G124" i="3"/>
  <c r="D124" i="3"/>
  <c r="I124" i="3"/>
  <c r="F124" i="3"/>
  <c r="H124" i="3"/>
  <c r="E10" i="89"/>
  <c r="P57" i="29"/>
  <c r="G30" i="92"/>
  <c r="A14" i="14"/>
  <c r="H60" i="98"/>
  <c r="I60" i="98" s="1"/>
  <c r="J120" i="3"/>
  <c r="D120" i="3"/>
  <c r="F120" i="3"/>
  <c r="C120" i="3"/>
  <c r="I120" i="3"/>
  <c r="G120" i="3"/>
  <c r="E120" i="3"/>
  <c r="E11" i="14"/>
  <c r="G29" i="92" s="1"/>
  <c r="H62" i="98"/>
  <c r="I62" i="98" s="1"/>
  <c r="D35" i="98"/>
  <c r="G27" i="92"/>
  <c r="E10" i="14"/>
  <c r="C35" i="98"/>
  <c r="E31" i="98"/>
  <c r="E37" i="98"/>
  <c r="A18" i="138"/>
  <c r="A12" i="89"/>
  <c r="A14" i="134"/>
  <c r="A16" i="86"/>
  <c r="F14" i="5" l="1"/>
  <c r="H89" i="98"/>
  <c r="I89" i="98" s="1"/>
  <c r="E24" i="98"/>
  <c r="F27" i="5"/>
  <c r="H53" i="95"/>
  <c r="D28" i="98"/>
  <c r="C124" i="3"/>
  <c r="A15" i="14"/>
  <c r="J125" i="3"/>
  <c r="C38" i="98"/>
  <c r="D38" i="98"/>
  <c r="E35" i="98"/>
  <c r="E36" i="98"/>
  <c r="H54" i="92"/>
  <c r="A13" i="89"/>
  <c r="A17" i="86"/>
  <c r="A15" i="134"/>
  <c r="K38" i="3" l="1"/>
  <c r="K54" i="3"/>
  <c r="I80" i="3" s="1"/>
  <c r="K39" i="3"/>
  <c r="K45" i="3"/>
  <c r="I99" i="3" s="1"/>
  <c r="K53" i="3"/>
  <c r="K35" i="3"/>
  <c r="K36" i="3"/>
  <c r="K44" i="3"/>
  <c r="K52" i="3"/>
  <c r="K37" i="3"/>
  <c r="D125" i="3"/>
  <c r="A16" i="14"/>
  <c r="I72" i="3"/>
  <c r="E125" i="3"/>
  <c r="G125" i="3"/>
  <c r="I73" i="3"/>
  <c r="I125" i="3"/>
  <c r="C100" i="3"/>
  <c r="I103" i="3"/>
  <c r="F125" i="3"/>
  <c r="I76" i="3"/>
  <c r="H125" i="3"/>
  <c r="I77" i="3"/>
  <c r="I102" i="3"/>
  <c r="C76" i="3"/>
  <c r="C102" i="3"/>
  <c r="C103" i="3"/>
  <c r="C77" i="3"/>
  <c r="C73" i="3"/>
  <c r="C101" i="3"/>
  <c r="C26" i="86"/>
  <c r="E38" i="98"/>
  <c r="A18" i="86"/>
  <c r="A16" i="134"/>
  <c r="A14" i="89"/>
  <c r="I38" i="3" l="1"/>
  <c r="I54" i="3"/>
  <c r="I35" i="3"/>
  <c r="I39" i="3"/>
  <c r="I37" i="3"/>
  <c r="I45" i="3"/>
  <c r="I53" i="3"/>
  <c r="I36" i="3"/>
  <c r="I44" i="3"/>
  <c r="I52" i="3"/>
  <c r="G106" i="3" s="1"/>
  <c r="F36" i="3"/>
  <c r="F44" i="3"/>
  <c r="F52" i="3"/>
  <c r="F37" i="3"/>
  <c r="F45" i="3"/>
  <c r="D99" i="3" s="1"/>
  <c r="F53" i="3"/>
  <c r="F38" i="3"/>
  <c r="F54" i="3"/>
  <c r="F35" i="3"/>
  <c r="D61" i="3" s="1"/>
  <c r="F39" i="3"/>
  <c r="J36" i="3"/>
  <c r="J44" i="3"/>
  <c r="J52" i="3"/>
  <c r="H106" i="3" s="1"/>
  <c r="J37" i="3"/>
  <c r="J45" i="3"/>
  <c r="J53" i="3"/>
  <c r="J39" i="3"/>
  <c r="J38" i="3"/>
  <c r="J54" i="3"/>
  <c r="J35" i="3"/>
  <c r="G38" i="3"/>
  <c r="G54" i="3"/>
  <c r="G35" i="3"/>
  <c r="G39" i="3"/>
  <c r="G52" i="3"/>
  <c r="E78" i="3" s="1"/>
  <c r="G37" i="3"/>
  <c r="G45" i="3"/>
  <c r="G53" i="3"/>
  <c r="G36" i="3"/>
  <c r="G44" i="3"/>
  <c r="H36" i="3"/>
  <c r="H44" i="3"/>
  <c r="H52" i="3"/>
  <c r="F78" i="3" s="1"/>
  <c r="H37" i="3"/>
  <c r="H45" i="3"/>
  <c r="F99" i="3" s="1"/>
  <c r="H53" i="3"/>
  <c r="H35" i="3"/>
  <c r="H39" i="3"/>
  <c r="H38" i="3"/>
  <c r="H54" i="3"/>
  <c r="E35" i="3"/>
  <c r="E39" i="3"/>
  <c r="E36" i="3"/>
  <c r="E44" i="3"/>
  <c r="E52" i="3"/>
  <c r="C106" i="3" s="1"/>
  <c r="E53" i="3"/>
  <c r="E38" i="3"/>
  <c r="E37" i="3"/>
  <c r="E45" i="3"/>
  <c r="C71" i="3" s="1"/>
  <c r="E54" i="3"/>
  <c r="G77" i="3"/>
  <c r="G99" i="3"/>
  <c r="I107" i="3"/>
  <c r="I79" i="3"/>
  <c r="I65" i="3"/>
  <c r="I93" i="3"/>
  <c r="I108" i="3"/>
  <c r="H71" i="3"/>
  <c r="D78" i="3"/>
  <c r="I98" i="3"/>
  <c r="I70" i="3"/>
  <c r="I61" i="3"/>
  <c r="I89" i="3"/>
  <c r="I62" i="3"/>
  <c r="I90" i="3"/>
  <c r="E74" i="3"/>
  <c r="E71" i="3"/>
  <c r="I91" i="3"/>
  <c r="I63" i="3"/>
  <c r="I92" i="3"/>
  <c r="I64" i="3"/>
  <c r="H99" i="3"/>
  <c r="A17" i="134"/>
  <c r="A18" i="134" s="1"/>
  <c r="D101" i="3"/>
  <c r="I104" i="3"/>
  <c r="A17" i="14"/>
  <c r="I101" i="3"/>
  <c r="I100" i="3"/>
  <c r="E102" i="3"/>
  <c r="H76" i="3"/>
  <c r="H73" i="3"/>
  <c r="H74" i="3"/>
  <c r="C104" i="3"/>
  <c r="C74" i="3"/>
  <c r="D103" i="3"/>
  <c r="I105" i="3"/>
  <c r="E72" i="3"/>
  <c r="C72" i="3"/>
  <c r="F76" i="3"/>
  <c r="I71" i="3"/>
  <c r="G105" i="3"/>
  <c r="G72" i="3"/>
  <c r="F105" i="3"/>
  <c r="D102" i="3"/>
  <c r="G74" i="3"/>
  <c r="D77" i="3"/>
  <c r="H105" i="3"/>
  <c r="F103" i="3"/>
  <c r="I74" i="3"/>
  <c r="C75" i="3"/>
  <c r="D104" i="3"/>
  <c r="D72" i="3"/>
  <c r="H100" i="3"/>
  <c r="I75" i="3"/>
  <c r="G76" i="3"/>
  <c r="G103" i="3"/>
  <c r="F100" i="3"/>
  <c r="F74" i="3"/>
  <c r="G101" i="3"/>
  <c r="F101" i="3"/>
  <c r="H75" i="3"/>
  <c r="E104" i="3"/>
  <c r="E77" i="3"/>
  <c r="E73" i="3"/>
  <c r="E103" i="3"/>
  <c r="I78" i="3"/>
  <c r="I106" i="3"/>
  <c r="C105" i="3"/>
  <c r="A19" i="86"/>
  <c r="A15" i="89"/>
  <c r="A16" i="89" s="1"/>
  <c r="C99" i="3" l="1"/>
  <c r="C78" i="3"/>
  <c r="A17" i="89"/>
  <c r="A18" i="89" s="1"/>
  <c r="C22" i="89"/>
  <c r="D54" i="3"/>
  <c r="C80" i="3"/>
  <c r="C108" i="3"/>
  <c r="E89" i="3"/>
  <c r="E61" i="3"/>
  <c r="D64" i="3"/>
  <c r="D92" i="3"/>
  <c r="F62" i="3"/>
  <c r="F90" i="3"/>
  <c r="F79" i="3"/>
  <c r="F107" i="3"/>
  <c r="G61" i="3"/>
  <c r="G89" i="3"/>
  <c r="D38" i="3"/>
  <c r="C64" i="3"/>
  <c r="C92" i="3"/>
  <c r="E108" i="3"/>
  <c r="E80" i="3"/>
  <c r="E62" i="3"/>
  <c r="E90" i="3"/>
  <c r="D108" i="3"/>
  <c r="D80" i="3"/>
  <c r="D62" i="3"/>
  <c r="D90" i="3"/>
  <c r="H65" i="3"/>
  <c r="H93" i="3"/>
  <c r="H98" i="3"/>
  <c r="H70" i="3"/>
  <c r="G108" i="3"/>
  <c r="G80" i="3"/>
  <c r="E91" i="3"/>
  <c r="E63" i="3"/>
  <c r="D91" i="3"/>
  <c r="D63" i="3"/>
  <c r="F89" i="3"/>
  <c r="F61" i="3"/>
  <c r="D44" i="3"/>
  <c r="C98" i="3"/>
  <c r="C70" i="3"/>
  <c r="C62" i="3"/>
  <c r="C90" i="3"/>
  <c r="D36" i="3"/>
  <c r="C63" i="3"/>
  <c r="C91" i="3"/>
  <c r="D37" i="3"/>
  <c r="E107" i="3"/>
  <c r="E79" i="3"/>
  <c r="D93" i="3"/>
  <c r="D65" i="3"/>
  <c r="H63" i="3"/>
  <c r="H91" i="3"/>
  <c r="H89" i="3"/>
  <c r="H61" i="3"/>
  <c r="H92" i="3"/>
  <c r="H64" i="3"/>
  <c r="F70" i="3"/>
  <c r="F98" i="3"/>
  <c r="F65" i="3"/>
  <c r="F93" i="3"/>
  <c r="G70" i="3"/>
  <c r="G98" i="3"/>
  <c r="G65" i="3"/>
  <c r="G93" i="3"/>
  <c r="G92" i="3"/>
  <c r="G64" i="3"/>
  <c r="C79" i="3"/>
  <c r="C107" i="3"/>
  <c r="D53" i="3"/>
  <c r="E64" i="3"/>
  <c r="E92" i="3"/>
  <c r="D79" i="3"/>
  <c r="D107" i="3"/>
  <c r="G79" i="3"/>
  <c r="G107" i="3"/>
  <c r="D39" i="3"/>
  <c r="C65" i="3"/>
  <c r="C93" i="3"/>
  <c r="C89" i="3"/>
  <c r="C61" i="3"/>
  <c r="D35" i="3"/>
  <c r="E93" i="3"/>
  <c r="E65" i="3"/>
  <c r="E70" i="3"/>
  <c r="E98" i="3"/>
  <c r="D89" i="3"/>
  <c r="D98" i="3"/>
  <c r="D70" i="3"/>
  <c r="H107" i="3"/>
  <c r="H79" i="3"/>
  <c r="H108" i="3"/>
  <c r="H80" i="3"/>
  <c r="H90" i="3"/>
  <c r="H62" i="3"/>
  <c r="F108" i="3"/>
  <c r="F80" i="3"/>
  <c r="F92" i="3"/>
  <c r="F64" i="3"/>
  <c r="F63" i="3"/>
  <c r="F91" i="3"/>
  <c r="G62" i="3"/>
  <c r="G90" i="3"/>
  <c r="G63" i="3"/>
  <c r="G91" i="3"/>
  <c r="I81" i="3"/>
  <c r="D106" i="3"/>
  <c r="A19" i="134"/>
  <c r="A20" i="134" s="1"/>
  <c r="A21" i="134"/>
  <c r="A22" i="134" s="1"/>
  <c r="A23" i="134" s="1"/>
  <c r="A24" i="134" s="1"/>
  <c r="A25" i="134" s="1"/>
  <c r="A26" i="134" s="1"/>
  <c r="A27" i="134" s="1"/>
  <c r="A28" i="134" s="1"/>
  <c r="A29" i="134" s="1"/>
  <c r="A30" i="134" s="1"/>
  <c r="A31" i="134" s="1"/>
  <c r="A32" i="134" s="1"/>
  <c r="A33" i="134" s="1"/>
  <c r="D73" i="3"/>
  <c r="D75" i="3"/>
  <c r="H102" i="3"/>
  <c r="E100" i="3"/>
  <c r="A18" i="14"/>
  <c r="D105" i="3"/>
  <c r="H104" i="3"/>
  <c r="H101" i="3"/>
  <c r="F106" i="3"/>
  <c r="F71" i="3"/>
  <c r="G102" i="3"/>
  <c r="H78" i="3"/>
  <c r="G75" i="3"/>
  <c r="F77" i="3"/>
  <c r="D76" i="3"/>
  <c r="F104" i="3"/>
  <c r="G100" i="3"/>
  <c r="F75" i="3"/>
  <c r="G71" i="3"/>
  <c r="E106" i="3"/>
  <c r="D74" i="3"/>
  <c r="E105" i="3"/>
  <c r="G78" i="3"/>
  <c r="D46" i="3"/>
  <c r="I109" i="3"/>
  <c r="D50" i="3"/>
  <c r="D51" i="3"/>
  <c r="D100" i="3"/>
  <c r="H72" i="3"/>
  <c r="D71" i="3"/>
  <c r="E75" i="3"/>
  <c r="H77" i="3"/>
  <c r="D49" i="3"/>
  <c r="F73" i="3"/>
  <c r="G73" i="3"/>
  <c r="G104" i="3"/>
  <c r="D45" i="3"/>
  <c r="F102" i="3"/>
  <c r="F72" i="3"/>
  <c r="D48" i="3"/>
  <c r="E76" i="3"/>
  <c r="H103" i="3"/>
  <c r="D47" i="3"/>
  <c r="E99" i="3"/>
  <c r="E101" i="3"/>
  <c r="D52" i="3"/>
  <c r="A20" i="86"/>
  <c r="A19" i="89" l="1"/>
  <c r="C109" i="3"/>
  <c r="C23" i="5" s="1"/>
  <c r="C81" i="3"/>
  <c r="C10" i="5" s="1"/>
  <c r="I10" i="5"/>
  <c r="I23" i="5"/>
  <c r="E15" i="92" s="1"/>
  <c r="D109" i="3"/>
  <c r="D23" i="5" s="1"/>
  <c r="H109" i="3"/>
  <c r="F23" i="5" s="1"/>
  <c r="F109" i="3"/>
  <c r="H23" i="5" s="1"/>
  <c r="A19" i="14"/>
  <c r="G109" i="3"/>
  <c r="E23" i="5" s="1"/>
  <c r="F81" i="3"/>
  <c r="H10" i="5" s="1"/>
  <c r="G81" i="3"/>
  <c r="E10" i="5" s="1"/>
  <c r="E81" i="3"/>
  <c r="G10" i="5" s="1"/>
  <c r="H81" i="3"/>
  <c r="D81" i="3"/>
  <c r="D10" i="5" s="1"/>
  <c r="E109" i="3"/>
  <c r="G23" i="5" s="1"/>
  <c r="A33" i="3"/>
  <c r="A34" i="3" s="1"/>
  <c r="A35" i="3" s="1"/>
  <c r="A21" i="86"/>
  <c r="A20" i="89" l="1"/>
  <c r="D15" i="92"/>
  <c r="C36" i="5"/>
  <c r="I36" i="5"/>
  <c r="D36" i="5"/>
  <c r="H36" i="5"/>
  <c r="D53" i="14"/>
  <c r="G55" i="95" s="1"/>
  <c r="D39" i="14"/>
  <c r="A20" i="14"/>
  <c r="A21" i="14" s="1"/>
  <c r="F10" i="5"/>
  <c r="E36" i="5"/>
  <c r="G36" i="5"/>
  <c r="A36" i="3"/>
  <c r="A37" i="3" s="1"/>
  <c r="A38" i="3" s="1"/>
  <c r="A39" i="3" s="1"/>
  <c r="A40" i="3" s="1"/>
  <c r="A41" i="3" s="1"/>
  <c r="A42" i="3" s="1"/>
  <c r="A43" i="3" s="1"/>
  <c r="A48" i="3" s="1"/>
  <c r="A49" i="3" s="1"/>
  <c r="A50" i="3" s="1"/>
  <c r="A51" i="3" s="1"/>
  <c r="A52" i="3" s="1"/>
  <c r="A53" i="3" s="1"/>
  <c r="A21" i="89"/>
  <c r="A22" i="86"/>
  <c r="A23" i="86" s="1"/>
  <c r="A24" i="86" s="1"/>
  <c r="A25" i="86" s="1"/>
  <c r="F15" i="92" l="1"/>
  <c r="A22" i="14"/>
  <c r="F36" i="5"/>
  <c r="A54" i="3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26" i="86"/>
  <c r="A57" i="29"/>
  <c r="A58" i="29" s="1"/>
  <c r="A59" i="29" s="1"/>
  <c r="A60" i="29" s="1"/>
  <c r="A61" i="29" s="1"/>
  <c r="A62" i="29" s="1"/>
  <c r="A63" i="29" s="1"/>
  <c r="A64" i="29" s="1"/>
  <c r="C10" i="14" s="1"/>
  <c r="A22" i="89"/>
  <c r="G48" i="95" l="1"/>
  <c r="G50" i="95"/>
  <c r="G49" i="95"/>
  <c r="A23" i="89"/>
  <c r="A24" i="89" s="1"/>
  <c r="A23" i="14"/>
  <c r="F13" i="5"/>
  <c r="F26" i="5"/>
  <c r="A70" i="3"/>
  <c r="A71" i="3" s="1"/>
  <c r="A27" i="86"/>
  <c r="F30" i="5" l="1"/>
  <c r="I30" i="5" s="1"/>
  <c r="G51" i="95"/>
  <c r="A25" i="89"/>
  <c r="A26" i="89" s="1"/>
  <c r="A24" i="14"/>
  <c r="F39" i="5"/>
  <c r="A72" i="3"/>
  <c r="A73" i="3" s="1"/>
  <c r="A74" i="3" s="1"/>
  <c r="A75" i="3" s="1"/>
  <c r="A28" i="86"/>
  <c r="A29" i="86" s="1"/>
  <c r="A27" i="89" l="1"/>
  <c r="A28" i="89" s="1"/>
  <c r="H30" i="5"/>
  <c r="H31" i="5" s="1"/>
  <c r="H33" i="5" s="1"/>
  <c r="E30" i="5"/>
  <c r="D30" i="5"/>
  <c r="G30" i="5"/>
  <c r="C30" i="5"/>
  <c r="C30" i="89"/>
  <c r="A25" i="14"/>
  <c r="E18" i="92"/>
  <c r="A76" i="3"/>
  <c r="A30" i="86"/>
  <c r="D31" i="5" l="1"/>
  <c r="F31" i="5"/>
  <c r="F33" i="5" s="1"/>
  <c r="C31" i="5"/>
  <c r="C33" i="5" s="1"/>
  <c r="G88" i="98" s="1"/>
  <c r="G90" i="98" s="1"/>
  <c r="G31" i="5"/>
  <c r="I31" i="5"/>
  <c r="E31" i="5"/>
  <c r="E33" i="5" s="1"/>
  <c r="A29" i="89"/>
  <c r="A26" i="14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77" i="3"/>
  <c r="A78" i="3" s="1"/>
  <c r="A31" i="86"/>
  <c r="A32" i="86" s="1"/>
  <c r="E19" i="92" l="1"/>
  <c r="E20" i="92" s="1"/>
  <c r="I33" i="5"/>
  <c r="A30" i="89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37" i="14"/>
  <c r="A38" i="14" s="1"/>
  <c r="A39" i="14" s="1"/>
  <c r="A40" i="14" s="1"/>
  <c r="A41" i="14" s="1"/>
  <c r="A42" i="14" s="1"/>
  <c r="A43" i="14" s="1"/>
  <c r="A44" i="14" s="1"/>
  <c r="A79" i="3"/>
  <c r="A33" i="86"/>
  <c r="A43" i="89" l="1"/>
  <c r="A44" i="89" s="1"/>
  <c r="A45" i="89" s="1"/>
  <c r="A46" i="89" s="1"/>
  <c r="A45" i="14"/>
  <c r="A46" i="14" s="1"/>
  <c r="A47" i="14" s="1"/>
  <c r="A48" i="14" s="1"/>
  <c r="A49" i="14" s="1"/>
  <c r="A50" i="14" s="1"/>
  <c r="A51" i="14" s="1"/>
  <c r="A52" i="14" s="1"/>
  <c r="A80" i="3"/>
  <c r="A81" i="3" s="1"/>
  <c r="A34" i="86"/>
  <c r="A47" i="89" l="1"/>
  <c r="A53" i="14"/>
  <c r="A54" i="14" s="1"/>
  <c r="A87" i="3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35" i="86"/>
  <c r="A55" i="14" l="1"/>
  <c r="A107" i="3"/>
  <c r="A108" i="3" s="1"/>
  <c r="A109" i="3" s="1"/>
  <c r="A36" i="86"/>
  <c r="A56" i="14" l="1"/>
  <c r="A57" i="14"/>
  <c r="A37" i="86"/>
  <c r="A38" i="86" l="1"/>
  <c r="A39" i="86" l="1"/>
  <c r="A40" i="86" l="1"/>
  <c r="A41" i="86" s="1"/>
  <c r="A42" i="86" l="1"/>
  <c r="A43" i="86" l="1"/>
  <c r="A44" i="86" s="1"/>
  <c r="A45" i="86" l="1"/>
  <c r="A48" i="89" l="1"/>
  <c r="F10" i="98" l="1"/>
  <c r="H24" i="95" l="1"/>
  <c r="E26" i="98"/>
  <c r="C28" i="98" l="1"/>
  <c r="E28" i="98"/>
  <c r="E27" i="98" s="1"/>
  <c r="E25" i="98" l="1"/>
  <c r="F17" i="5" l="1"/>
  <c r="E17" i="5" s="1"/>
  <c r="F40" i="5"/>
  <c r="D17" i="5" l="1"/>
  <c r="D43" i="5" s="1"/>
  <c r="F43" i="5"/>
  <c r="H17" i="5"/>
  <c r="C17" i="5"/>
  <c r="I17" i="5"/>
  <c r="E43" i="5"/>
  <c r="G17" i="5"/>
  <c r="G43" i="5" s="1"/>
  <c r="H18" i="5" l="1"/>
  <c r="D18" i="5" s="1"/>
  <c r="D44" i="5" s="1"/>
  <c r="C43" i="5"/>
  <c r="D18" i="92"/>
  <c r="I43" i="5"/>
  <c r="H43" i="5"/>
  <c r="H20" i="5" l="1"/>
  <c r="F18" i="92"/>
  <c r="H44" i="5"/>
  <c r="H46" i="5" s="1"/>
  <c r="I18" i="5"/>
  <c r="I20" i="5" s="1"/>
  <c r="E18" i="5"/>
  <c r="E20" i="5" s="1"/>
  <c r="G18" i="5"/>
  <c r="F18" i="5"/>
  <c r="F20" i="5" s="1"/>
  <c r="C18" i="5"/>
  <c r="C20" i="5" s="1"/>
  <c r="C44" i="5" l="1"/>
  <c r="C46" i="5" s="1"/>
  <c r="F44" i="5"/>
  <c r="F46" i="5" s="1"/>
  <c r="I44" i="5"/>
  <c r="I46" i="5" s="1"/>
  <c r="D19" i="92"/>
  <c r="D20" i="92" s="1"/>
  <c r="G44" i="5"/>
  <c r="E44" i="5"/>
  <c r="E46" i="5" l="1"/>
  <c r="D8" i="14" s="1"/>
  <c r="F21" i="14" s="1"/>
  <c r="F88" i="98"/>
  <c r="F90" i="98" s="1"/>
  <c r="F19" i="92"/>
  <c r="F20" i="92"/>
  <c r="F22" i="92" s="1"/>
  <c r="F43" i="92" l="1"/>
  <c r="F45" i="92" s="1"/>
  <c r="I47" i="92" s="1"/>
  <c r="F53" i="92"/>
  <c r="F55" i="92" s="1"/>
  <c r="I57" i="92" s="1"/>
  <c r="I58" i="92" s="1"/>
  <c r="I61" i="92" s="1"/>
  <c r="F24" i="14"/>
  <c r="G45" i="95" s="1"/>
  <c r="F25" i="14"/>
  <c r="G46" i="95" s="1"/>
  <c r="F23" i="14"/>
  <c r="G44" i="95" s="1"/>
  <c r="F22" i="14"/>
  <c r="G43" i="95" s="1"/>
  <c r="H88" i="98"/>
  <c r="H90" i="98" s="1"/>
  <c r="I63" i="92" l="1"/>
  <c r="I51" i="92"/>
  <c r="I49" i="92"/>
  <c r="I48" i="92"/>
  <c r="I50" i="92"/>
  <c r="I88" i="98"/>
  <c r="E90" i="98"/>
  <c r="I90" i="98" l="1"/>
  <c r="H55" i="95"/>
  <c r="H51" i="95" l="1"/>
  <c r="H50" i="95"/>
  <c r="H49" i="95"/>
  <c r="H48" i="95" l="1"/>
  <c r="F30" i="98"/>
  <c r="G30" i="98"/>
  <c r="H44" i="95" l="1"/>
  <c r="F33" i="98"/>
  <c r="H46" i="95"/>
  <c r="H45" i="95"/>
  <c r="H43" i="95" l="1"/>
  <c r="F31" i="98"/>
  <c r="G31" i="98"/>
  <c r="G33" i="98"/>
  <c r="H31" i="98" l="1"/>
  <c r="I31" i="98" s="1"/>
  <c r="H33" i="98" l="1"/>
  <c r="G36" i="98"/>
  <c r="H30" i="98"/>
  <c r="I30" i="98" s="1"/>
  <c r="F36" i="98"/>
  <c r="H36" i="98" l="1"/>
  <c r="I33" i="98"/>
  <c r="I36" i="98" l="1"/>
  <c r="G63" i="95" l="1"/>
  <c r="G17" i="98" l="1"/>
  <c r="H63" i="95"/>
  <c r="F17" i="98"/>
  <c r="H17" i="98" l="1"/>
  <c r="F42" i="98"/>
  <c r="G66" i="95"/>
  <c r="I65" i="92"/>
  <c r="G42" i="98"/>
  <c r="I66" i="92"/>
  <c r="G67" i="95"/>
  <c r="H67" i="95" s="1"/>
  <c r="G65" i="95"/>
  <c r="F20" i="98" s="1"/>
  <c r="I64" i="92"/>
  <c r="G68" i="95"/>
  <c r="H68" i="95" s="1"/>
  <c r="I67" i="92"/>
  <c r="F34" i="98" l="1"/>
  <c r="F22" i="98"/>
  <c r="G34" i="98"/>
  <c r="G22" i="98"/>
  <c r="H66" i="95"/>
  <c r="H42" i="98"/>
  <c r="I42" i="98" s="1"/>
  <c r="H65" i="95"/>
  <c r="G32" i="98"/>
  <c r="F32" i="98"/>
  <c r="G20" i="98"/>
  <c r="I17" i="98"/>
  <c r="F35" i="98" l="1"/>
  <c r="H32" i="98"/>
  <c r="F37" i="98"/>
  <c r="F38" i="98" s="1"/>
  <c r="H22" i="98"/>
  <c r="I22" i="98" s="1"/>
  <c r="F41" i="98"/>
  <c r="F40" i="98"/>
  <c r="H20" i="98"/>
  <c r="H34" i="98"/>
  <c r="I34" i="98" s="1"/>
  <c r="G40" i="98"/>
  <c r="G37" i="98"/>
  <c r="G38" i="98" s="1"/>
  <c r="G35" i="98"/>
  <c r="G41" i="98"/>
  <c r="F43" i="98" l="1"/>
  <c r="H41" i="98"/>
  <c r="I41" i="98" s="1"/>
  <c r="H35" i="98"/>
  <c r="I35" i="98" s="1"/>
  <c r="I32" i="98"/>
  <c r="H37" i="98"/>
  <c r="G43" i="98"/>
  <c r="I20" i="98"/>
  <c r="H40" i="98"/>
  <c r="H38" i="98" l="1"/>
  <c r="I38" i="98" s="1"/>
  <c r="I37" i="98"/>
  <c r="I40" i="98"/>
  <c r="H43" i="98"/>
  <c r="I43" i="98" l="1"/>
  <c r="I10" i="98"/>
  <c r="G46" i="5"/>
  <c r="E8" i="16" s="1"/>
  <c r="G12" i="16" s="1"/>
  <c r="G13" i="16" s="1"/>
  <c r="G57" i="95" l="1"/>
  <c r="G58" i="98"/>
  <c r="F58" i="98"/>
  <c r="H58" i="98" l="1"/>
  <c r="H57" i="95"/>
  <c r="I58" i="98" l="1"/>
  <c r="D33" i="5"/>
  <c r="G33" i="5"/>
  <c r="G20" i="5"/>
  <c r="D46" i="5" l="1"/>
  <c r="D6" i="89" s="1"/>
  <c r="D8" i="89" s="1"/>
  <c r="D20" i="5"/>
  <c r="D46" i="89" l="1"/>
  <c r="D48" i="89" s="1"/>
  <c r="G50" i="89" s="1"/>
  <c r="D36" i="89"/>
  <c r="D38" i="89" s="1"/>
  <c r="G40" i="89" s="1"/>
  <c r="D54" i="89" l="1"/>
  <c r="G44" i="89"/>
  <c r="G41" i="95" s="1"/>
  <c r="H41" i="95" s="1"/>
  <c r="G43" i="89"/>
  <c r="G40" i="95" s="1"/>
  <c r="H40" i="95" s="1"/>
  <c r="G42" i="89"/>
  <c r="G39" i="95" s="1"/>
  <c r="H39" i="95" s="1"/>
  <c r="G41" i="89"/>
  <c r="G38" i="95" s="1"/>
  <c r="G19" i="86" s="1"/>
  <c r="D53" i="89"/>
  <c r="D55" i="89" s="1"/>
  <c r="G51" i="89"/>
  <c r="G36" i="95" s="1"/>
  <c r="G16" i="98" s="1"/>
  <c r="G18" i="98" s="1"/>
  <c r="G21" i="98" l="1"/>
  <c r="F21" i="98"/>
  <c r="F19" i="98"/>
  <c r="H36" i="95"/>
  <c r="G15" i="86"/>
  <c r="F16" i="86" s="1"/>
  <c r="F16" i="98"/>
  <c r="H16" i="98" s="1"/>
  <c r="H38" i="95"/>
  <c r="G19" i="98"/>
  <c r="G23" i="98" s="1"/>
  <c r="H21" i="98" l="1"/>
  <c r="I21" i="98" s="1"/>
  <c r="G17" i="86"/>
  <c r="E18" i="86" s="1"/>
  <c r="G34" i="95"/>
  <c r="G6" i="95"/>
  <c r="H6" i="95" s="1"/>
  <c r="G26" i="95"/>
  <c r="H26" i="95" s="1"/>
  <c r="F23" i="98"/>
  <c r="F20" i="86"/>
  <c r="F22" i="86" s="1"/>
  <c r="H19" i="98"/>
  <c r="I19" i="98" s="1"/>
  <c r="F18" i="98"/>
  <c r="G30" i="95"/>
  <c r="H30" i="95" s="1"/>
  <c r="G28" i="95"/>
  <c r="H28" i="95" s="1"/>
  <c r="G33" i="95"/>
  <c r="H33" i="95" s="1"/>
  <c r="G29" i="95"/>
  <c r="H29" i="95" s="1"/>
  <c r="G32" i="95"/>
  <c r="H32" i="95" s="1"/>
  <c r="G27" i="95"/>
  <c r="H27" i="95" s="1"/>
  <c r="G31" i="95"/>
  <c r="H31" i="95" s="1"/>
  <c r="G13" i="95"/>
  <c r="H13" i="95" s="1"/>
  <c r="G7" i="95"/>
  <c r="H7" i="95" s="1"/>
  <c r="G9" i="95"/>
  <c r="H9" i="95" s="1"/>
  <c r="G10" i="95"/>
  <c r="H10" i="95" s="1"/>
  <c r="G12" i="95"/>
  <c r="H12" i="95" s="1"/>
  <c r="G11" i="95"/>
  <c r="H11" i="95" s="1"/>
  <c r="G8" i="95"/>
  <c r="H8" i="95" s="1"/>
  <c r="H18" i="98"/>
  <c r="I18" i="98" s="1"/>
  <c r="I16" i="98"/>
  <c r="E21" i="86" l="1"/>
  <c r="E23" i="86" s="1"/>
  <c r="H23" i="98"/>
  <c r="I23" i="98" s="1"/>
  <c r="C12" i="98"/>
  <c r="E26" i="86"/>
  <c r="E30" i="86"/>
  <c r="D45" i="98"/>
  <c r="D55" i="98" s="1"/>
  <c r="D56" i="98" s="1"/>
  <c r="D63" i="98" s="1"/>
  <c r="D64" i="98" s="1"/>
  <c r="E29" i="86"/>
  <c r="G14" i="95"/>
  <c r="H34" i="95"/>
  <c r="G10" i="98"/>
  <c r="H10" i="98" s="1"/>
  <c r="C45" i="98"/>
  <c r="C55" i="98" s="1"/>
  <c r="C56" i="98" s="1"/>
  <c r="C63" i="98" s="1"/>
  <c r="E31" i="86" l="1"/>
  <c r="E35" i="86"/>
  <c r="E36" i="86"/>
  <c r="E43" i="86" s="1"/>
  <c r="E32" i="86"/>
  <c r="E34" i="86" s="1"/>
  <c r="E28" i="86"/>
  <c r="E44" i="98"/>
  <c r="E45" i="98" s="1"/>
  <c r="D91" i="98"/>
  <c r="G9" i="98"/>
  <c r="G14" i="98" s="1"/>
  <c r="G24" i="98" s="1"/>
  <c r="H14" i="95"/>
  <c r="F9" i="98"/>
  <c r="C64" i="98"/>
  <c r="C91" i="98"/>
  <c r="E39" i="86" l="1"/>
  <c r="E41" i="86" s="1"/>
  <c r="E37" i="86"/>
  <c r="E38" i="86" s="1"/>
  <c r="E42" i="86"/>
  <c r="E44" i="86" s="1"/>
  <c r="F14" i="98"/>
  <c r="F24" i="98" s="1"/>
  <c r="F44" i="98"/>
  <c r="E55" i="98"/>
  <c r="E91" i="98"/>
  <c r="G44" i="98"/>
  <c r="G45" i="98" s="1"/>
  <c r="G11" i="98"/>
  <c r="H9" i="98"/>
  <c r="F11" i="98"/>
  <c r="E45" i="86" l="1"/>
  <c r="G26" i="98"/>
  <c r="G28" i="98" s="1"/>
  <c r="H14" i="98"/>
  <c r="F26" i="98"/>
  <c r="E56" i="98"/>
  <c r="F45" i="98"/>
  <c r="H44" i="98"/>
  <c r="I9" i="98"/>
  <c r="H11" i="98"/>
  <c r="I11" i="98" s="1"/>
  <c r="I14" i="98" l="1"/>
  <c r="H24" i="98"/>
  <c r="H26" i="98"/>
  <c r="I26" i="98" s="1"/>
  <c r="H45" i="98"/>
  <c r="I44" i="98"/>
  <c r="E63" i="98"/>
  <c r="F28" i="98"/>
  <c r="I24" i="98" l="1"/>
  <c r="H28" i="98"/>
  <c r="H25" i="98" s="1"/>
  <c r="I25" i="98" s="1"/>
  <c r="E64" i="98"/>
  <c r="I45" i="98"/>
  <c r="I28" i="98" l="1"/>
  <c r="H27" i="98"/>
  <c r="E12" i="213" l="1"/>
  <c r="F49" i="98" l="1"/>
  <c r="F47" i="98" s="1"/>
  <c r="F55" i="98" s="1"/>
  <c r="G49" i="98"/>
  <c r="G47" i="98" s="1"/>
  <c r="F12" i="213"/>
  <c r="G97" i="98"/>
  <c r="G103" i="98" s="1"/>
  <c r="G55" i="98" l="1"/>
  <c r="G56" i="98" s="1"/>
  <c r="G63" i="98" s="1"/>
  <c r="H99" i="98"/>
  <c r="I99" i="98" s="1"/>
  <c r="F97" i="98"/>
  <c r="F103" i="98" s="1"/>
  <c r="H49" i="98"/>
  <c r="H47" i="98"/>
  <c r="H55" i="98" s="1"/>
  <c r="F56" i="98"/>
  <c r="F63" i="98" s="1"/>
  <c r="G91" i="98" l="1"/>
  <c r="G111" i="98" s="1"/>
  <c r="G64" i="98"/>
  <c r="F64" i="98"/>
  <c r="F91" i="98"/>
  <c r="I47" i="98"/>
  <c r="H97" i="98"/>
  <c r="H103" i="98" s="1"/>
  <c r="I49" i="98"/>
  <c r="I55" i="98" l="1"/>
  <c r="H56" i="98"/>
  <c r="H91" i="98"/>
  <c r="I91" i="98" s="1"/>
  <c r="F111" i="98"/>
  <c r="H111" i="98" s="1"/>
  <c r="E114" i="98" s="1"/>
  <c r="I97" i="98"/>
  <c r="I103" i="98" s="1"/>
  <c r="I56" i="98" l="1"/>
  <c r="H63" i="98"/>
  <c r="I63" i="98" l="1"/>
  <c r="H64" i="98"/>
  <c r="I64" i="98" s="1"/>
</calcChain>
</file>

<file path=xl/connections.xml><?xml version="1.0" encoding="utf-8"?>
<connections xmlns="http://schemas.openxmlformats.org/spreadsheetml/2006/main">
  <connection id="1" name="2016 Q111" description="Pulls the 2016 Q1 forecast from the TRFA" type="1" refreshedVersion="4" savePassword="1" background="1" saveData="1">
    <dbPr connection="DRIVER=SQL Server Native Client 10.0;SERVER=HSQ0422;UID=REM8114;Trusted_Connection=Yes;APP=Microsoft Office 2010;WSID=CDB257839WIN7;Network=DBMSSOCN;" command="SELECT  _x000d__x000a_            fc.Forecast_Nm,_x000d__x000a_                mth.Fiscal_Year_Nbr,_x000d__x000a_            mth.Fiscal_Month_Nbr,_x000d__x000a_            fpr.Product_Cd,_x000d__x000a_            grp.Product_Group_Nm,_x000d__x000a_            cat.Product_Category_Nm,_x000d__x000a_            co.Company_Peoplesoft_Nbr,_x000d__x000a_        Sum(Round(frm.Revenue_Amt,2)) _x000d__x000a_FROM  RevForecast.dbo.Forecast_Revenue_Month frm_x000d__x000a_join RevForecast.dbo.Company co_x000d__x000a_       on co.Company_Id = frm.Company_Id_x000d__x000a_JOIN RevForecast.dbo.Forecast fc_x000d__x000a_            ON fc.Forecast_Id = frm.Forecast_Id_x000d__x000a_JOIN RevForecast.dbo.Product fpr_x000d__x000a_            ON fpr.Product_Id = frm.Product_Id_x000d__x000a_JOIN RevForecast.dbo.Product_Category cat_x000d__x000a_            ON cat.Product_Category_Id = fpr.Product_Category_Id_x000d__x000a_JOIN RevForecast.dbo.Product_Group grp_x000d__x000a_            ON grp.Product_Group_Id = cat.Product_Group_Id_x000d__x000a_JOIN RevForecast.dbo.Fiscal_Month mth_x000d__x000a_            ON mth.Fiscal_Month_Id = frm.Fiscal_Month_Id_x000d__x000a_WHERE      _x000d__x000a_            fc.Forecast_Nm IN ('RC_INIT_PROP18_16RATES')_x000d__x000a_GROUP By_x000d__x000a_    fc.Forecast_Nm,_x000d__x000a_    co.Company_Peoplesoft_Nbr,_x000d__x000a_    mth.Fiscal_Year_Nbr,_x000d__x000a_    grp.Product_Group_Nm, _x000d__x000a_    cat.Product_Category_Nm, _x000d__x000a_    fpr.Product_Cd,_x000d__x000a_    mth.Fiscal_Month_Nbr_x000d__x000a_"/>
  </connection>
  <connection id="2" odcFile="C:\Users\HHS2529\Documents\My Data Sources\HSA2047 EPM Revenue.odc" keepAlive="1" name="HSA2047 EPM Revenue" type="5" refreshedVersion="4" background="1" saveData="1">
    <dbPr connection="Provider=MSOLAP.4;Integrated Security=SSPI;Persist Security Info=True;Initial Catalog=EPM;Data Source=HSA2047;MDX Compatibility=1;Safety Options=2;MDX Missing Member Mode=Error" command="Revenue" commandType="1"/>
    <olapPr sendLocale="1" rowDrillCount="5000"/>
  </connection>
  <connection id="3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  <connection id="4" odcFile="W:\ODBC_DSN\RevForecastHSQ0422.dsn" name="RevForecastHSQ0422" type="1" refreshedVersion="4">
    <dbPr connection="DRIVER=SQL Server Native Client 10.0;SERVER=HSQ0422;UID=DLC5315;Trusted_Connection=Yes;APP=Microsoft Office 2010;WSID=PIHT321;DATABASE=RevForecast;Network=DBMSSOCN;" command="SELECT * FROM &quot;dbo&quot;.&quot;Company&quot;"/>
  </connection>
  <connection id="5" odcFile="W:\ODBC_DSN\RevForecastHSQ0422.dsn" name="RevForecastHSQ04221" type="1" refreshedVersion="4">
    <dbPr connection="DRIVER=SQL Server Native Client 10.0;SERVER=HSQ0422;UID=DLC5315;Trusted_Connection=Yes;APP=Microsoft Office 2010;WSID=PIHT321;DATABASE=RevForecast;Network=DBMSSOCN;" command="SELECT * FROM &quot;dbo&quot;.&quot;Product&quot;"/>
  </connection>
  <connection id="6" odcFile="W:\ODBC_DSN\RevForecastHSQ0422.dsn" name="RevForecastHSQ04222" type="1" refreshedVersion="4">
    <dbPr connection="DRIVER=SQL Server Native Client 10.0;SERVER=HSQ0422;UID=DLC5315;Trusted_Connection=Yes;APP=Microsoft Office 2010;WSID=CDB257742WIN7;DATABASE=RevForecast;Network=DBMSSOCN;" command="SELECT * FROM &quot;dbo&quot;.&quot;NT_Product&quot;"/>
  </connection>
  <connection id="7" odcFile="W:\ODBC_DSN\RevForecastHSQ0422.dsn" name="RevForecastHSQ04223" type="1" refreshedVersion="0" background="1">
    <dbPr connection="DRIVER=SQL Server Native Client 10.0;SERVER=HSQ0422;UID=DLC5315;Trusted_Connection=Yes;APP=Microsoft Office 2010;WSID=CDB257742WIN7;DATABASE=RevForecast;Network=DBMSSOCN;" command="SELECT * FROM &quot;dbo&quot;.&quot;Load_Forecast&quot;"/>
  </connection>
</connections>
</file>

<file path=xl/sharedStrings.xml><?xml version="1.0" encoding="utf-8"?>
<sst xmlns="http://schemas.openxmlformats.org/spreadsheetml/2006/main" count="1463" uniqueCount="698">
  <si>
    <t>(A)</t>
  </si>
  <si>
    <t>(B)</t>
  </si>
  <si>
    <t>(C)</t>
  </si>
  <si>
    <t>(D)</t>
  </si>
  <si>
    <t>(E)</t>
  </si>
  <si>
    <t>(F)</t>
  </si>
  <si>
    <t>(G)</t>
  </si>
  <si>
    <t>(H)</t>
  </si>
  <si>
    <t>Generation</t>
  </si>
  <si>
    <t xml:space="preserve"> </t>
  </si>
  <si>
    <t>Delivery</t>
  </si>
  <si>
    <t>Intertie</t>
  </si>
  <si>
    <t>Ancillary</t>
  </si>
  <si>
    <t>Total</t>
  </si>
  <si>
    <t>Integration</t>
  </si>
  <si>
    <t>Network</t>
  </si>
  <si>
    <t>Utility</t>
  </si>
  <si>
    <t>Industry</t>
  </si>
  <si>
    <t>Southern</t>
  </si>
  <si>
    <t>Eastern</t>
  </si>
  <si>
    <t>Services</t>
  </si>
  <si>
    <t>Operations &amp; Maintenance</t>
  </si>
  <si>
    <t>Depreciation</t>
  </si>
  <si>
    <t>($000)</t>
  </si>
  <si>
    <t>Transmission Revenue Credit</t>
  </si>
  <si>
    <t>Basis</t>
  </si>
  <si>
    <t>Industrial</t>
  </si>
  <si>
    <t>southern</t>
  </si>
  <si>
    <t>net plant</t>
  </si>
  <si>
    <t>industry</t>
  </si>
  <si>
    <t>network</t>
  </si>
  <si>
    <t>Unadjusted Costs (Table 1)</t>
  </si>
  <si>
    <t>Revenue Credits (Table 2)</t>
  </si>
  <si>
    <t>1/</t>
  </si>
  <si>
    <t>$/kW-mo</t>
  </si>
  <si>
    <t>Growth</t>
  </si>
  <si>
    <t>Source</t>
  </si>
  <si>
    <t>Network Rates</t>
  </si>
  <si>
    <t>Generation Supplied Reactive</t>
  </si>
  <si>
    <t>(I)</t>
  </si>
  <si>
    <t>(J)</t>
  </si>
  <si>
    <t>(K)</t>
  </si>
  <si>
    <t>Sales</t>
  </si>
  <si>
    <t>Annual</t>
  </si>
  <si>
    <t>Monthly</t>
  </si>
  <si>
    <t>Hourly</t>
  </si>
  <si>
    <t>Energy Imbalance</t>
  </si>
  <si>
    <t>Southern Intertie</t>
  </si>
  <si>
    <t>Total Sales, SCD</t>
  </si>
  <si>
    <t>(L)</t>
  </si>
  <si>
    <t>Montana Intertie</t>
  </si>
  <si>
    <t>Units</t>
  </si>
  <si>
    <t xml:space="preserve">Costs </t>
  </si>
  <si>
    <t>Rates</t>
  </si>
  <si>
    <t>Daily Block1 (day 1 through 5)</t>
  </si>
  <si>
    <t>Daily Block2 (day 6 and beyond)</t>
  </si>
  <si>
    <t xml:space="preserve">Intertie Costs </t>
  </si>
  <si>
    <t>Southern Intertie Sales</t>
  </si>
  <si>
    <t>aMW</t>
  </si>
  <si>
    <t>$/kW-yr</t>
  </si>
  <si>
    <t>$/kW-day</t>
  </si>
  <si>
    <t>M-G Distance</t>
  </si>
  <si>
    <t>$/kW-mi-yr</t>
  </si>
  <si>
    <t>M-G Miscellaneous Facilities</t>
  </si>
  <si>
    <t>M-G Terminal</t>
  </si>
  <si>
    <t>M-G Interconnection Terminal</t>
  </si>
  <si>
    <t>S-S Transformation</t>
  </si>
  <si>
    <t>S-S Interconnection Terminal</t>
  </si>
  <si>
    <t>S-S Intermediate Terminal</t>
  </si>
  <si>
    <t>S-S Distance</t>
  </si>
  <si>
    <t>Demand</t>
  </si>
  <si>
    <t>Daily Block 1 (day 1 thru 5)</t>
  </si>
  <si>
    <t>Daily Block 2 (day 6 and beyond)</t>
  </si>
  <si>
    <t>mills/kWh</t>
  </si>
  <si>
    <t>Utility Delivery</t>
  </si>
  <si>
    <t>(M)</t>
  </si>
  <si>
    <t>Transmission Rate Schedule</t>
  </si>
  <si>
    <t>MWs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</si>
  <si>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</si>
  <si>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</si>
  <si>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</si>
  <si>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</si>
  <si>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</si>
  <si>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</si>
  <si>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</si>
  <si>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</si>
  <si>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</si>
  <si>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</si>
  <si>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</si>
  <si>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</si>
  <si>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Point to Point (PTP)</t>
  </si>
  <si>
    <t xml:space="preserve">Subtotal Network </t>
  </si>
  <si>
    <t>Short-term Product</t>
  </si>
  <si>
    <t>Oct.</t>
  </si>
  <si>
    <t>Nov.</t>
  </si>
  <si>
    <t>Dec.</t>
  </si>
  <si>
    <t>Jan.</t>
  </si>
  <si>
    <t>Feb.</t>
  </si>
  <si>
    <t>Mar.</t>
  </si>
  <si>
    <t>Apr.</t>
  </si>
  <si>
    <t>Jun.</t>
  </si>
  <si>
    <t>Jul.</t>
  </si>
  <si>
    <t>Aug.</t>
  </si>
  <si>
    <t>Sep.</t>
  </si>
  <si>
    <t>Monthly/Weekly/Daily Block1</t>
  </si>
  <si>
    <t>Monthly/Weekly/Daily Block2</t>
  </si>
  <si>
    <t>MW-days</t>
  </si>
  <si>
    <t>Planned Net Revenues</t>
  </si>
  <si>
    <t>MWh</t>
  </si>
  <si>
    <t>Montana Intertie (IM)</t>
  </si>
  <si>
    <t>Generation Integration BBL</t>
  </si>
  <si>
    <t>Net Interest Expense</t>
  </si>
  <si>
    <t>Annual Average for Rate Period</t>
  </si>
  <si>
    <t>Net plant from Table 1</t>
  </si>
  <si>
    <t>Allocation calculations:</t>
  </si>
  <si>
    <t>AS</t>
  </si>
  <si>
    <t>PTP SDD</t>
  </si>
  <si>
    <t>IS CONFIRMED</t>
  </si>
  <si>
    <t>UFT</t>
  </si>
  <si>
    <t>GI</t>
  </si>
  <si>
    <t>DSI</t>
  </si>
  <si>
    <t>Days in Month</t>
  </si>
  <si>
    <t>Rate Period</t>
  </si>
  <si>
    <t>Revenues</t>
  </si>
  <si>
    <t>Transmission Acquisition &amp; Ancillary Services</t>
  </si>
  <si>
    <t>Total Transmission Revenue Requirement</t>
  </si>
  <si>
    <t>Direct O&amp;M</t>
  </si>
  <si>
    <t>Overheads</t>
  </si>
  <si>
    <t>Total O&amp;M</t>
  </si>
  <si>
    <t>NT_Base</t>
  </si>
  <si>
    <t>PTP, Long-term</t>
  </si>
  <si>
    <t>PTP, Short-term</t>
  </si>
  <si>
    <t>UtilDeliv</t>
  </si>
  <si>
    <t>Percent Change</t>
  </si>
  <si>
    <t>Eastern Intertie adjustment</t>
  </si>
  <si>
    <t>FCRTS Investment Base (Net Plant)</t>
  </si>
  <si>
    <t>Percent of Total</t>
  </si>
  <si>
    <t>Percent</t>
  </si>
  <si>
    <t>Allocation for Fiber, Land/ROW, Misc Leases based on Net Plant</t>
  </si>
  <si>
    <t>2.B1-2</t>
  </si>
  <si>
    <t>2.B4-5</t>
  </si>
  <si>
    <t>Percent of total</t>
  </si>
  <si>
    <t>Network Average for Rate Period</t>
  </si>
  <si>
    <t>Rev Rqmt</t>
  </si>
  <si>
    <t>Revenue Credits</t>
  </si>
  <si>
    <t>No Rqmt</t>
  </si>
  <si>
    <t>Eastern Intertie Adjustment</t>
  </si>
  <si>
    <t>(MW)</t>
  </si>
  <si>
    <t>Rate</t>
  </si>
  <si>
    <t>Operating Reserves - Spinning</t>
  </si>
  <si>
    <t>Operating Reserves - Supplemental</t>
  </si>
  <si>
    <t>Service</t>
  </si>
  <si>
    <t>Industry Delivery Adjustment</t>
  </si>
  <si>
    <t>IM Tx Revenues</t>
  </si>
  <si>
    <t>Subtotal Network Transmission Revenues</t>
  </si>
  <si>
    <t>Total Network Sale Revenues</t>
  </si>
  <si>
    <t>Subtotal Network Ancillary Revenues</t>
  </si>
  <si>
    <t>NT Ancillary Revenues</t>
  </si>
  <si>
    <t>Intertie Sale Revenues</t>
  </si>
  <si>
    <t>IS, Long-term</t>
  </si>
  <si>
    <t>IS, Short-term</t>
  </si>
  <si>
    <t>IM, Long-term</t>
  </si>
  <si>
    <t>IS LT Ancillary Revenues</t>
  </si>
  <si>
    <t>IS ST Ancillary Revenues</t>
  </si>
  <si>
    <t>Total Intertie Sale Revenues</t>
  </si>
  <si>
    <t>Ancillary Revenues</t>
  </si>
  <si>
    <t>Long-term Scheduling, Control and Dispatch</t>
  </si>
  <si>
    <t>Short-term Scheduling, Control and Dispatch</t>
  </si>
  <si>
    <t>Change</t>
  </si>
  <si>
    <t xml:space="preserve">Average </t>
  </si>
  <si>
    <t>Subtotal NT Sale Revenues</t>
  </si>
  <si>
    <t>Subtotal PTP Sale Revenues</t>
  </si>
  <si>
    <t>Subtotal IS Sale Revenues</t>
  </si>
  <si>
    <t>Subtotal Intertie Transmission Revenues</t>
  </si>
  <si>
    <t>Subtotal Intertie Ancillary Revenues</t>
  </si>
  <si>
    <t>IM Sales</t>
  </si>
  <si>
    <t>IM Revenue</t>
  </si>
  <si>
    <t>Other Revenues</t>
  </si>
  <si>
    <t>Generation Imbalance</t>
  </si>
  <si>
    <t>Total Ancillary Revenues</t>
  </si>
  <si>
    <t>Subtotal less SCD</t>
  </si>
  <si>
    <t>Other Revenues Subtotal</t>
  </si>
  <si>
    <t>Average over Rate Period</t>
  </si>
  <si>
    <t>NT Scheduling, Control and Dispatch</t>
  </si>
  <si>
    <t>Subtotal SCD Costs</t>
  </si>
  <si>
    <t>Subtotal less Generation Input Ancillaries</t>
  </si>
  <si>
    <t>Eastern Intertie</t>
  </si>
  <si>
    <t>2.B</t>
  </si>
  <si>
    <t>Annual peak</t>
  </si>
  <si>
    <t>1/ Values based on market and streamflow estimates combined with historical trends</t>
  </si>
  <si>
    <t>Network Short-term</t>
  </si>
  <si>
    <t>Net SCD Costs</t>
  </si>
  <si>
    <t>FPT 1&amp;3 Transmission Portion</t>
  </si>
  <si>
    <t>Point to Point (PTP) w/o SDD</t>
  </si>
  <si>
    <t>a_cp</t>
  </si>
  <si>
    <t>m_cp</t>
  </si>
  <si>
    <t>NT SDD EXPECTATION</t>
  </si>
  <si>
    <t>UFT (per study document)</t>
  </si>
  <si>
    <t>Network Load Service</t>
  </si>
  <si>
    <t>Point to Point (PTP) with SDD</t>
  </si>
  <si>
    <t>O&amp;M (per study document)</t>
  </si>
  <si>
    <t>IE Rate Calculation</t>
  </si>
  <si>
    <t>$000/Yr</t>
  </si>
  <si>
    <t>m_cd</t>
  </si>
  <si>
    <t>MegaWatts (MW)</t>
  </si>
  <si>
    <t>$000/yr</t>
  </si>
  <si>
    <t>Average FPT Rate (Revenue/Sales)</t>
  </si>
  <si>
    <t>PTP reduction (credit) from SDD</t>
  </si>
  <si>
    <t>Total SDD credit</t>
  </si>
  <si>
    <t>Table 1</t>
  </si>
  <si>
    <t>Transmission Revenue Requirements</t>
  </si>
  <si>
    <t>Table 2</t>
  </si>
  <si>
    <t>Credit Segmentation Factors</t>
  </si>
  <si>
    <t>Table 3</t>
  </si>
  <si>
    <t>Segmented Revenue Requirement Adjustments</t>
  </si>
  <si>
    <t>($000/yr)</t>
  </si>
  <si>
    <t>Table 4</t>
  </si>
  <si>
    <t>Southern Intertie Average for Rate Period</t>
  </si>
  <si>
    <t>Subtotal Southern Intertie (IS)</t>
  </si>
  <si>
    <t>Long-term Transmission Sales</t>
  </si>
  <si>
    <t>(MegaWatts)</t>
  </si>
  <si>
    <t>Network (PTP only short-term)</t>
  </si>
  <si>
    <t>Subtotal Rate Period</t>
  </si>
  <si>
    <t>Short-term Transmission Sales</t>
  </si>
  <si>
    <t>Table 6</t>
  </si>
  <si>
    <t>Transmission percent of total</t>
  </si>
  <si>
    <t>Ancillary service percent of total</t>
  </si>
  <si>
    <t>Transmission revenues from current rates</t>
  </si>
  <si>
    <t>Current unit cost</t>
  </si>
  <si>
    <t>Network transmission</t>
  </si>
  <si>
    <t>Formula Power Transmission (FPT) sales</t>
  </si>
  <si>
    <t>Average FPT revenues</t>
  </si>
  <si>
    <t>FPT portion of Scheduling Control &amp; Dispatch</t>
  </si>
  <si>
    <t>FPT portion of Generation Supplied Reactive</t>
  </si>
  <si>
    <t>Table 7</t>
  </si>
  <si>
    <t>Segmented Network costs</t>
  </si>
  <si>
    <t>Table 5</t>
  </si>
  <si>
    <t>Total cost allocation sales</t>
  </si>
  <si>
    <t>Network costs</t>
  </si>
  <si>
    <t>Net costs</t>
  </si>
  <si>
    <t>Point to point (PTP) w/o SDD</t>
  </si>
  <si>
    <t>Point to point (PTP) with SDD</t>
  </si>
  <si>
    <t>Daily block 1 (day 1 through 5)</t>
  </si>
  <si>
    <t>Daily block 2 (day 6 and beyond)</t>
  </si>
  <si>
    <t>Sales used for cost allocation</t>
  </si>
  <si>
    <t>Short distance discount forecast</t>
  </si>
  <si>
    <t>NT reduction (credit) from SDD</t>
  </si>
  <si>
    <t>Annual ($/kW-yr)</t>
  </si>
  <si>
    <t>Monthly ($/kW-mo)</t>
  </si>
  <si>
    <t>Daily block1 ($/kW-day)</t>
  </si>
  <si>
    <t>Daily block2 ($/kW-day)</t>
  </si>
  <si>
    <t>Hourly (mills/kWh)</t>
  </si>
  <si>
    <t>IS rate calculation</t>
  </si>
  <si>
    <t>Calculation of Intertie Rates</t>
  </si>
  <si>
    <t>IM rate calculation</t>
  </si>
  <si>
    <t>Long-term agreements</t>
  </si>
  <si>
    <t>Short-term daily block 1</t>
  </si>
  <si>
    <t>Short-term daily block 2</t>
  </si>
  <si>
    <t>Table 8</t>
  </si>
  <si>
    <t>Annual Costs</t>
  </si>
  <si>
    <t>Table 9</t>
  </si>
  <si>
    <t>Calculation of Utility Delivery Rate</t>
  </si>
  <si>
    <t>Calculation of Ancillary Service Rates</t>
  </si>
  <si>
    <t>Planned net revenue</t>
  </si>
  <si>
    <t>Financing costs</t>
  </si>
  <si>
    <t>Total segmented SCD</t>
  </si>
  <si>
    <t>FPT revenue for SCD</t>
  </si>
  <si>
    <t>Scheduling, System Control &amp; Dispatch</t>
  </si>
  <si>
    <t>/1 See Generation Inputs Study for details about rates associated with Generation Inputs</t>
  </si>
  <si>
    <t>Table 11</t>
  </si>
  <si>
    <t>Table 12</t>
  </si>
  <si>
    <t>(N)</t>
  </si>
  <si>
    <t>(O)</t>
  </si>
  <si>
    <t>Hourly rate (mills/kWh)</t>
  </si>
  <si>
    <t>Total SCD Revenue</t>
  </si>
  <si>
    <t>Subtotal SCD Rate</t>
  </si>
  <si>
    <t>TGT Sales</t>
  </si>
  <si>
    <t>Eastern Intertie Costs</t>
  </si>
  <si>
    <t>Montana Intertie Agreement</t>
  </si>
  <si>
    <t>Total Sales</t>
  </si>
  <si>
    <t>BPA Annual Share of Costs</t>
  </si>
  <si>
    <t>2.B57</t>
  </si>
  <si>
    <t>COE/BOR</t>
  </si>
  <si>
    <t>Annual peak (1 CP)</t>
  </si>
  <si>
    <t>Sales Forecast</t>
  </si>
  <si>
    <t>SCD</t>
  </si>
  <si>
    <t>GSR</t>
  </si>
  <si>
    <t>RFR</t>
  </si>
  <si>
    <t>WI</t>
  </si>
  <si>
    <t>OR-Spin</t>
  </si>
  <si>
    <t>OR-Supp</t>
  </si>
  <si>
    <t>EI</t>
  </si>
  <si>
    <t>Average Ancillary Rev Reqmt (T10)</t>
  </si>
  <si>
    <t>Total Average Rev Rqmt (T1)</t>
  </si>
  <si>
    <t>Ancillary Percent of Total Reqmt</t>
  </si>
  <si>
    <t>*** only SCD/GSR apply for Net Plant</t>
  </si>
  <si>
    <t>Net Plant</t>
  </si>
  <si>
    <t>GenInteg</t>
  </si>
  <si>
    <t>Util Del</t>
  </si>
  <si>
    <t>DSI Del</t>
  </si>
  <si>
    <t>IS</t>
  </si>
  <si>
    <t>Percent of total excluding AS</t>
  </si>
  <si>
    <t>Allocation (SCD and GSR only)</t>
  </si>
  <si>
    <t>O&amp;M and COE/BOR</t>
  </si>
  <si>
    <t>Annual Noncoincidental Peak (1NCP)</t>
  </si>
  <si>
    <t>NT Coincident with Transmission Peak (CP):</t>
  </si>
  <si>
    <t>NT Coincident with Customer Peak (NCP):</t>
  </si>
  <si>
    <t>Montana Intertie Average for Rate Period</t>
  </si>
  <si>
    <t>Townsend Garrison Transmision is assigned 100% to the Eastern Intertie</t>
  </si>
  <si>
    <t>Less: FPT transmission revenues</t>
  </si>
  <si>
    <t>2/</t>
  </si>
  <si>
    <t>m_cd = Monthly Contract Demand (average), i.e. MW-days divided by days in month, MWh divided by hours in month</t>
  </si>
  <si>
    <t>Network Transmission (NT) (Including SDD)</t>
  </si>
  <si>
    <t>Sales allocation percentages:</t>
  </si>
  <si>
    <t>NT Percentage</t>
  </si>
  <si>
    <t>PTP Percentage</t>
  </si>
  <si>
    <t>Total segment costs</t>
  </si>
  <si>
    <t>PTP cost allocation percentage</t>
  </si>
  <si>
    <t>PTP annual rate ($/kW-yr)</t>
  </si>
  <si>
    <t>NT cost allocation percentage</t>
  </si>
  <si>
    <t>Allocated PTP costs</t>
  </si>
  <si>
    <t>Allocated NT costs</t>
  </si>
  <si>
    <t>NT annual rate ($/kW-yr)</t>
  </si>
  <si>
    <t>NT rate calculation:</t>
  </si>
  <si>
    <t>Application of Revenue Requirements to Products:</t>
  </si>
  <si>
    <t>NT Billing Factor (= NT 12 CP Average Peak load)</t>
  </si>
  <si>
    <t>Network Integration w/o SDD (12 NCP Average peak)</t>
  </si>
  <si>
    <t>NT Firm Redispatch Credit 1/</t>
  </si>
  <si>
    <t>Eastern Intertie Adjustment 2/</t>
  </si>
  <si>
    <t>Industry Delivery Adjustment 2/</t>
  </si>
  <si>
    <t>Utility Delivery Charge (Full Recovery)</t>
  </si>
  <si>
    <t>Percentage</t>
  </si>
  <si>
    <t>m_ncp</t>
  </si>
  <si>
    <t>a_ncp</t>
  </si>
  <si>
    <t>m_cd = Monthly Contract Demand;  m_cp = Monthly Coincidental Peak;  a_cp = Annual Coincidental Peak; m_ncp = Monthly Non-Coincidental Peak; a_ncp = Annual Non-Coincidental Peak</t>
  </si>
  <si>
    <t>Sales Used for Cost Allocation</t>
  </si>
  <si>
    <t>PTP percentage</t>
  </si>
  <si>
    <t>NT sales</t>
  </si>
  <si>
    <t>NT percentage</t>
  </si>
  <si>
    <t>Application of Revenue Requirements to Sales Products:</t>
  </si>
  <si>
    <t>PTP Billing factor</t>
  </si>
  <si>
    <t>PTP annual rate ($/kW-year)</t>
  </si>
  <si>
    <t>PTP monthly rate ($/kW-month)</t>
  </si>
  <si>
    <t>Daily block 1</t>
  </si>
  <si>
    <t>Daily block 2</t>
  </si>
  <si>
    <t>NT Federal Redispatch Credit 1/</t>
  </si>
  <si>
    <t>NT Nonfederal Redispatch Credit 1/</t>
  </si>
  <si>
    <t>PTP LT Ancillary Revenues</t>
  </si>
  <si>
    <t>PTP ST Ancillary Revenues</t>
  </si>
  <si>
    <t>NT Billing factor</t>
  </si>
  <si>
    <t>NT annual rate ($/kW-year)</t>
  </si>
  <si>
    <t>For NT customers</t>
  </si>
  <si>
    <t>NT monthly rate ($/kW-month)</t>
  </si>
  <si>
    <t>For PTP customers:</t>
  </si>
  <si>
    <t>Calculation of Formula Power Transmission Rates</t>
  </si>
  <si>
    <t>Transmission revenues:</t>
  </si>
  <si>
    <t>Unit cost</t>
  </si>
  <si>
    <t>FPT revenues</t>
  </si>
  <si>
    <t>PTP contract demand</t>
  </si>
  <si>
    <t>PTP Billing factor (= PTP contract demand)</t>
  </si>
  <si>
    <t>PTP contract demand w/o SDD</t>
  </si>
  <si>
    <t>Services/1</t>
  </si>
  <si>
    <t>PTP (Network + Interties) sales</t>
  </si>
  <si>
    <t>PTP (Network + Interties) rate calculation:</t>
  </si>
  <si>
    <t>For PTP customers</t>
  </si>
  <si>
    <t>For NT customers:</t>
  </si>
  <si>
    <t>PTP to Which SCD Charges Do Not Apply</t>
  </si>
  <si>
    <t>IE</t>
  </si>
  <si>
    <t>Network Sales Revenues</t>
  </si>
  <si>
    <t>Current</t>
  </si>
  <si>
    <t>Proposed</t>
  </si>
  <si>
    <t>Mills per kilowatthour</t>
  </si>
  <si>
    <t>Hourly Rate</t>
  </si>
  <si>
    <t>PTP</t>
  </si>
  <si>
    <t>Average Annual Network Transmission Revenues</t>
  </si>
  <si>
    <t>Average Annual SCD Revenues</t>
  </si>
  <si>
    <t>Formula Power Transmission -- 1 Year</t>
  </si>
  <si>
    <t>Formula Power Transmission -- 3 Year</t>
  </si>
  <si>
    <t>NT load (12NCP average peak)</t>
  </si>
  <si>
    <t>Total cost allocation sales -- Reserved capacity contracts</t>
  </si>
  <si>
    <t>FPT 1</t>
  </si>
  <si>
    <t>FPT 3</t>
  </si>
  <si>
    <t>/1 Ancillary Service costs include Scheduling, System Control, and Dispatch (SCD) and Gen Inputs costs.</t>
  </si>
  <si>
    <t>Annual Rate</t>
  </si>
  <si>
    <t>Monthly Rate</t>
  </si>
  <si>
    <t>Eastern Intertie, Industry Delivery, and Utility Delivery adjustments (cost - revenue) segmented on Table 1 net plant percentages.</t>
  </si>
  <si>
    <t>Network Integration w/o SDD (12 CP average peak)</t>
  </si>
  <si>
    <t>Network Integration with SDD (12CP average peak)</t>
  </si>
  <si>
    <t>Network Integration with SDD (12 NCP Average peak)</t>
  </si>
  <si>
    <t>PTP Contracts (with SDD)</t>
  </si>
  <si>
    <t>Table 10.1</t>
  </si>
  <si>
    <t>Table 10.2</t>
  </si>
  <si>
    <t>Intertie Daily (Blocks 1 &amp; 2)</t>
  </si>
  <si>
    <t>Intertie Hourly</t>
  </si>
  <si>
    <t>Rev Req Check Met?</t>
  </si>
  <si>
    <t>Include Gen Inputs</t>
  </si>
  <si>
    <t>Revenue Requirement</t>
  </si>
  <si>
    <t>Revenue less Revenue Requirement</t>
  </si>
  <si>
    <t>Revenue Recovery Test</t>
  </si>
  <si>
    <t>note: set gen inputs flag to 1 include gen inputs</t>
  </si>
  <si>
    <t>or, 0 to exclude gen inputs</t>
  </si>
  <si>
    <t>1 = include</t>
  </si>
  <si>
    <t>0 = exclude</t>
  </si>
  <si>
    <t xml:space="preserve">COE/BOR </t>
  </si>
  <si>
    <t>TGT Revenues</t>
  </si>
  <si>
    <t>TGT Rate Calculation</t>
  </si>
  <si>
    <t>Eastern Intertie Revenue Credits</t>
  </si>
  <si>
    <t>Townsend to Garrison</t>
  </si>
  <si>
    <t>Segmented Eastern Intertie Costs</t>
  </si>
  <si>
    <t>Adjusted Segmented Eastern Intertie Costs</t>
  </si>
  <si>
    <t>mills/kW-mo</t>
  </si>
  <si>
    <t>Unit</t>
  </si>
  <si>
    <t>Quantity</t>
  </si>
  <si>
    <t>Regulating Reserves inc</t>
  </si>
  <si>
    <t>Regulating Reserves dec</t>
  </si>
  <si>
    <t>AVG</t>
  </si>
  <si>
    <t>Calculation of Regional Compliance Enforecement and Regional Coordinator Charge</t>
  </si>
  <si>
    <t>Regional Coordinator</t>
  </si>
  <si>
    <t>Regional Compliance Enforcement</t>
  </si>
  <si>
    <t>Regional Coordinator Rate</t>
  </si>
  <si>
    <t>Regional Compliance Enforcement Rate</t>
  </si>
  <si>
    <t>Fiscal Year</t>
  </si>
  <si>
    <t>Average</t>
  </si>
  <si>
    <t>SINT AC NON FEDERAL O&amp;M</t>
  </si>
  <si>
    <t>DSI DELIVERY CHARGE</t>
  </si>
  <si>
    <t>FIBER OPERATIONS &amp; MAINTENANCE</t>
  </si>
  <si>
    <t>FIBER LEASES</t>
  </si>
  <si>
    <t>LAND USE/LEASE/SALE</t>
  </si>
  <si>
    <t>RIGHT-OF-WAY LEASE</t>
  </si>
  <si>
    <t>MISC SERVICE FEES</t>
  </si>
  <si>
    <t>TRANSMISSION PROCESSING FEE</t>
  </si>
  <si>
    <t>AMORT NONFED PNW AC INTERTIE</t>
  </si>
  <si>
    <t>O&amp;M FEDERAL FACILITY</t>
  </si>
  <si>
    <t>O&amp;M NON-FEDERAL FACILITY</t>
  </si>
  <si>
    <t>MISC LEASES</t>
  </si>
  <si>
    <t>BPA EQUIPMENT USE</t>
  </si>
  <si>
    <t>TRANSMISSION OPERATOR SERVICES</t>
  </si>
  <si>
    <t>3RD AC RAS GENERATION DROPPING</t>
  </si>
  <si>
    <t>PTP RESERVATION FEE</t>
  </si>
  <si>
    <t>TS SHARE OF RES ENRGY/WHLG-COE</t>
  </si>
  <si>
    <t>UFT FIXED DOLLAR AMOUNT</t>
  </si>
  <si>
    <t>UFT VARIABLE SERVICE AMT</t>
  </si>
  <si>
    <t>PCS WIRELESS LEASES</t>
  </si>
  <si>
    <t>PCS CONSTRUCTION</t>
  </si>
  <si>
    <t>PCS OPERATIONS &amp; MAINTENANCE</t>
  </si>
  <si>
    <t>direct om</t>
  </si>
  <si>
    <t>direct uft</t>
  </si>
  <si>
    <t>Table 4 Line 39+40 (O)</t>
  </si>
  <si>
    <t>Sales Report - RevSummary</t>
  </si>
  <si>
    <t>FPT.1-22</t>
  </si>
  <si>
    <t>Average FY 2022-2023</t>
  </si>
  <si>
    <t>Calculation of PTP and NT Rates</t>
  </si>
  <si>
    <t>OR</t>
  </si>
  <si>
    <t>DERBS</t>
  </si>
  <si>
    <t>Line 2</t>
  </si>
  <si>
    <t>Line 3</t>
  </si>
  <si>
    <t>FPT  SCD</t>
  </si>
  <si>
    <t>FY 2022 except Eastern Intertie</t>
  </si>
  <si>
    <t>FY 2023 except Eastern Intertie</t>
  </si>
  <si>
    <t>FY 2022 except EI and Industry</t>
  </si>
  <si>
    <t>FY 2023 except EI and Industry</t>
  </si>
  <si>
    <t>Subtotal FPT Revenues</t>
  </si>
  <si>
    <t>Input Year</t>
  </si>
  <si>
    <t>Assuming FPT3 rate increase in 2023</t>
  </si>
  <si>
    <t>Assuming No FPT3 Rate Increase in FY 2022</t>
  </si>
  <si>
    <t>FPT1 Revenues, FY2022</t>
  </si>
  <si>
    <t>FPT3 Revenues, FY2022</t>
  </si>
  <si>
    <t>Total FY2022 Revenues</t>
  </si>
  <si>
    <t>FPT1 Revenues, FY2023</t>
  </si>
  <si>
    <t>FPT3 Revenues, FY2023</t>
  </si>
  <si>
    <t>Total FY2023 Revenues</t>
  </si>
  <si>
    <t>Network transmission portion of FY2022 FPT1 Revenue</t>
  </si>
  <si>
    <t>Network transmission portion of FY2022 FPT3 Revenue</t>
  </si>
  <si>
    <t>Total Network Transmission portion of FY2022 FPT Revenue</t>
  </si>
  <si>
    <t>Network transmission portion of FY2023 FPT1 Revenue</t>
  </si>
  <si>
    <t>Network transmission portion of FY2023 FPT3 Revenue</t>
  </si>
  <si>
    <t>Total Network Transmission portion of FY2023 FPT Revenue</t>
  </si>
  <si>
    <t>SCD Portion of of FY2022 FPT1 revenue</t>
  </si>
  <si>
    <t>SCD Portion of of FY2022 FPT3 revenue</t>
  </si>
  <si>
    <t>Total SCD Porton of FY2022 FPT Revenue</t>
  </si>
  <si>
    <t>SCD Portion of of FY2023 FPT1 revenue</t>
  </si>
  <si>
    <t>SCD Portion of of FY2023 FPT3 revenue</t>
  </si>
  <si>
    <t>Total SCD Porton of FY2023 FPT Revenue</t>
  </si>
  <si>
    <t>Balancing Reserve Amounts</t>
  </si>
  <si>
    <t>Non-Regulating Reserves inc</t>
  </si>
  <si>
    <t>Non-Regulating Reserves dec</t>
  </si>
  <si>
    <t>DERBS Regulating Reserves</t>
  </si>
  <si>
    <t>DERBS Non-Regulating Reserves</t>
  </si>
  <si>
    <t>Wind Regulating Reserves</t>
  </si>
  <si>
    <t>Wind Non-Regulating Reserves</t>
  </si>
  <si>
    <t>Solar Regulating Reserves</t>
  </si>
  <si>
    <t>Solar Non-Regulating Reserves</t>
  </si>
  <si>
    <t>INC</t>
  </si>
  <si>
    <t>DEC</t>
  </si>
  <si>
    <t>Load Regulating Reserves</t>
  </si>
  <si>
    <t>Load Non-Regulating Reserves</t>
  </si>
  <si>
    <t>FedHydCGS Regulating Reserves</t>
  </si>
  <si>
    <t>FedHydCGS Non-Regulating Reserves</t>
  </si>
  <si>
    <t>Operating Reserves - Spinning Rate</t>
  </si>
  <si>
    <t>Operating Reserves - Supplemental Rate</t>
  </si>
  <si>
    <t>Costs ($000)</t>
  </si>
  <si>
    <t>mills per KWH</t>
  </si>
  <si>
    <t>Operting Reserves - Spinning Default Rate</t>
  </si>
  <si>
    <t>Operating Reserves - Supplemental Default Rate</t>
  </si>
  <si>
    <t>RFR Regulating Reserves</t>
  </si>
  <si>
    <t>RFR Non-Regulating Reserves</t>
  </si>
  <si>
    <t>Total RFR Costs</t>
  </si>
  <si>
    <t>Dispatchable Energy Resource Balancing (DERBS)</t>
  </si>
  <si>
    <t>Regulation &amp; Frequency Response (RFR)</t>
  </si>
  <si>
    <t>Operating Reserves (OR)</t>
  </si>
  <si>
    <t>monthly max dev</t>
  </si>
  <si>
    <t>Variable Energy Resource Balancing - VERBS Wind</t>
  </si>
  <si>
    <t>VERBS Wind Regulating Reserves</t>
  </si>
  <si>
    <t>VERBS Wind Non-Regulating Reserves</t>
  </si>
  <si>
    <t>$ per KW-mo</t>
  </si>
  <si>
    <t>Variable Energy Resource Balancing - VERBS Solar</t>
  </si>
  <si>
    <t>VERBS Solar Regulating Reserves</t>
  </si>
  <si>
    <t>VERBS Solar Non-Regulating Reserves</t>
  </si>
  <si>
    <t>DERBS Reserves Inc</t>
  </si>
  <si>
    <t>DERBS Reserves Dec</t>
  </si>
  <si>
    <t xml:space="preserve">   Operating Reserves - Supplmental</t>
  </si>
  <si>
    <t xml:space="preserve">       OR - Spinning Default</t>
  </si>
  <si>
    <t xml:space="preserve">        OR - Supplmental Default</t>
  </si>
  <si>
    <t>VERBS - Wind</t>
  </si>
  <si>
    <t>VERBS - Solar</t>
  </si>
  <si>
    <t>T-1</t>
  </si>
  <si>
    <t xml:space="preserve">T-2 </t>
  </si>
  <si>
    <t>T-3</t>
  </si>
  <si>
    <t>Segmented Revenue Requirement for Rates</t>
  </si>
  <si>
    <t>T-4</t>
  </si>
  <si>
    <t>Long Term Sales</t>
  </si>
  <si>
    <t>T-5</t>
  </si>
  <si>
    <t>Short Term Sales</t>
  </si>
  <si>
    <t>T-6</t>
  </si>
  <si>
    <t>T-7</t>
  </si>
  <si>
    <t>T-8</t>
  </si>
  <si>
    <t>T-9</t>
  </si>
  <si>
    <t>T-11</t>
  </si>
  <si>
    <t>Rates Summary</t>
  </si>
  <si>
    <t>T-12</t>
  </si>
  <si>
    <t>Revenues Summary</t>
  </si>
  <si>
    <t>T-10.1</t>
  </si>
  <si>
    <t>T-10.2</t>
  </si>
  <si>
    <t>T-10.3</t>
  </si>
  <si>
    <t>Generation Input Rates Summary</t>
  </si>
  <si>
    <t>T-10.4</t>
  </si>
  <si>
    <t>Generation Rates Calcs</t>
  </si>
  <si>
    <t>FPT Rates Calc</t>
  </si>
  <si>
    <t>Network Rates Calc</t>
  </si>
  <si>
    <t>Intertie Rates Calc</t>
  </si>
  <si>
    <t>Delivery Rates Calc</t>
  </si>
  <si>
    <t>Ancillary Service Rates Calc</t>
  </si>
  <si>
    <t>Regional Compliance/Enforcement Rates Calc</t>
  </si>
  <si>
    <t>Manual Input</t>
  </si>
  <si>
    <t>Formulas</t>
  </si>
  <si>
    <t>168 Hr delay</t>
  </si>
  <si>
    <t>Non-BBL/Acq. &amp; Ancillary</t>
  </si>
  <si>
    <t>Segmented Southern Intertie Costs</t>
  </si>
  <si>
    <t>$ per KW-hour</t>
  </si>
  <si>
    <t>Network sales (PTP and NT)</t>
  </si>
  <si>
    <t>Total Firm Transmission Rights</t>
  </si>
  <si>
    <t>3/</t>
  </si>
  <si>
    <t>Utility Delivery BP-22 Settlement Adjustment 3/</t>
  </si>
  <si>
    <t>Table 4, Line 21 (O) * Line12 * 12</t>
  </si>
  <si>
    <t>Table 4, Line 22 (O) * Line 12 * 12</t>
  </si>
  <si>
    <t>Regional Coordinator Costs</t>
  </si>
  <si>
    <t>Regional Compliance Enforcement Costs</t>
  </si>
  <si>
    <t>Per BP-22 Settlement the Transmission Utility Delivery Charge will be limited to 25% rate increase, with the excess costs allocated to the Network segment (NT and PTP rates).  This adjustment is reflected in rows 12, 25, and 38.</t>
  </si>
  <si>
    <t>Per BP-22 settlement agreement, Bonneville will not adopt a capacity charge for the delayed return of transmission losses for BP-22</t>
  </si>
  <si>
    <t>/1</t>
  </si>
  <si>
    <t>Balancing Reserves (VERBS Wind, VERBS Solar, DERBS)</t>
  </si>
  <si>
    <t>n/a</t>
  </si>
  <si>
    <t>/2</t>
  </si>
  <si>
    <t>Per BP-22 settlement agreement, if BPA joins the Western EIM, a discount to balancing services will be provided based on the assumption of a 50% offset in hydro-shift costs and spill costs for non-regulation balancing reserves, as calculated through the GARD model.</t>
  </si>
  <si>
    <t>Per BP-22 settlement agreement, Bonneville will not adopt a capacity charge for the 
delayed return of transmission losses for BP-22</t>
  </si>
  <si>
    <t>Per BP-22 settlement agreement, if BPA joins the Western EIM, a discount to balancing services will be provided based on the
assumption of a 50% offset in hydro-shift costs and spill costs for non-regulation balancing reserves, as calculated through
the GARD model.</t>
  </si>
  <si>
    <t xml:space="preserve">Per BP-22 Settlement DERBS rate increase will be limited to 50% of the calculated impact in the final proposal compared to BP-20.
Excess costs will be allocated to other ACS rates (VERBS Wind, Solar, and RFR).  </t>
  </si>
  <si>
    <t>/3</t>
  </si>
  <si>
    <r>
      <t>168 Hr delay</t>
    </r>
    <r>
      <rPr>
        <vertAlign val="superscript"/>
        <sz val="12"/>
        <rFont val="Times New Roman"/>
        <family val="1"/>
      </rPr>
      <t>1</t>
    </r>
  </si>
  <si>
    <r>
      <t>BP22 DERBS Settlement Cost Shift To RFR</t>
    </r>
    <r>
      <rPr>
        <vertAlign val="superscript"/>
        <sz val="12"/>
        <rFont val="Times New Roman"/>
        <family val="1"/>
      </rPr>
      <t>3</t>
    </r>
  </si>
  <si>
    <r>
      <t>BP22 DERBS Settlement Cost Shift</t>
    </r>
    <r>
      <rPr>
        <vertAlign val="superscript"/>
        <sz val="12"/>
        <rFont val="Times New Roman"/>
        <family val="1"/>
      </rPr>
      <t>3</t>
    </r>
  </si>
  <si>
    <r>
      <t>BP22 DERBS Settlement Cost Shift To VERBS</t>
    </r>
    <r>
      <rPr>
        <vertAlign val="superscript"/>
        <sz val="12"/>
        <rFont val="Times New Roman"/>
        <family val="1"/>
      </rPr>
      <t>3</t>
    </r>
  </si>
  <si>
    <r>
      <t>168 hour in-kind delay losses service</t>
    </r>
    <r>
      <rPr>
        <b/>
        <vertAlign val="superscript"/>
        <sz val="12"/>
        <rFont val="Times New Roman"/>
        <family val="1"/>
      </rPr>
      <t>1</t>
    </r>
  </si>
  <si>
    <r>
      <t>Regulating Reserves inc</t>
    </r>
    <r>
      <rPr>
        <vertAlign val="superscript"/>
        <sz val="12"/>
        <rFont val="Times New Roman"/>
        <family val="1"/>
      </rPr>
      <t>2</t>
    </r>
  </si>
  <si>
    <r>
      <t>Regulating Reserves dec</t>
    </r>
    <r>
      <rPr>
        <vertAlign val="superscript"/>
        <sz val="12"/>
        <rFont val="Times New Roman"/>
        <family val="1"/>
      </rPr>
      <t>2</t>
    </r>
  </si>
  <si>
    <r>
      <t>Non-Regulating Reserves inc</t>
    </r>
    <r>
      <rPr>
        <vertAlign val="superscript"/>
        <sz val="12"/>
        <rFont val="Times New Roman"/>
        <family val="1"/>
      </rPr>
      <t>2</t>
    </r>
  </si>
  <si>
    <r>
      <t>Non-Regulating Reserves dec</t>
    </r>
    <r>
      <rPr>
        <vertAlign val="superscript"/>
        <sz val="12"/>
        <rFont val="Times New Roman"/>
        <family val="1"/>
      </rPr>
      <t>2</t>
    </r>
  </si>
  <si>
    <r>
      <t xml:space="preserve">   </t>
    </r>
    <r>
      <rPr>
        <sz val="12"/>
        <rFont val="Times New Roman"/>
        <family val="1"/>
      </rPr>
      <t>Operating Reserves - Spinning</t>
    </r>
  </si>
  <si>
    <r>
      <t>168HR In-Kind Loss Returns</t>
    </r>
    <r>
      <rPr>
        <b/>
        <vertAlign val="superscript"/>
        <sz val="12"/>
        <rFont val="Times New Roman"/>
        <family val="1"/>
      </rPr>
      <t>1</t>
    </r>
  </si>
  <si>
    <t>Current PTP rate plus Ancillary Services</t>
  </si>
  <si>
    <t>Rate increase (PTP rate + Ancillary)</t>
  </si>
  <si>
    <t>PTP rate</t>
  </si>
  <si>
    <r>
      <t xml:space="preserve">FY </t>
    </r>
    <r>
      <rPr>
        <b/>
        <sz val="12"/>
        <rFont val="Times New Roman"/>
        <family val="1"/>
      </rPr>
      <t>2022-2023</t>
    </r>
    <r>
      <rPr>
        <sz val="12"/>
        <rFont val="Times New Roman"/>
        <family val="1"/>
      </rPr>
      <t xml:space="preserve"> PTP</t>
    </r>
    <r>
      <rPr>
        <strike/>
        <sz val="12"/>
        <rFont val="Times New Roman"/>
        <family val="1"/>
      </rPr>
      <t xml:space="preserve"> </t>
    </r>
    <r>
      <rPr>
        <sz val="12"/>
        <rFont val="Times New Roman"/>
        <family val="1"/>
      </rPr>
      <t>rate plus Ancillary Services</t>
    </r>
  </si>
  <si>
    <t>/1 Based on revenue forecast of FPT contracts expected to be active in the FY2022-23 time frame</t>
  </si>
  <si>
    <t>Table 11 Line 34, 61, 66 (E)</t>
  </si>
  <si>
    <t>Table 11, Line 34 (D)/ (Line 34 (D) + Line 61 (D))</t>
  </si>
  <si>
    <t>Table 11, Line 34, 61, 66 (D)</t>
  </si>
  <si>
    <t>Table 4, Line 49 (O)</t>
  </si>
  <si>
    <t>Line 30</t>
  </si>
  <si>
    <t>Table 4, Lines 42 (O) &amp; 43 (O)</t>
  </si>
  <si>
    <t>Table 7, Line 8</t>
  </si>
  <si>
    <t>Table 7, Line 47</t>
  </si>
  <si>
    <t>Table 7, Line 37</t>
  </si>
  <si>
    <t>Table 7, Line 38</t>
  </si>
  <si>
    <t>Table 7, Line 39</t>
  </si>
  <si>
    <t>Table 7, Line 40</t>
  </si>
  <si>
    <t>Table 8, Line 16</t>
  </si>
  <si>
    <t>Table 8, Line 17</t>
  </si>
  <si>
    <t>Table 8, Line 18</t>
  </si>
  <si>
    <t>Table 8, Line 19</t>
  </si>
  <si>
    <t>Table 8, Line 39</t>
  </si>
  <si>
    <t>Table 9, Line 6</t>
  </si>
  <si>
    <t>Table 10.2, Line 5</t>
  </si>
  <si>
    <t>Table 10.2, Line 11</t>
  </si>
  <si>
    <t>FPT.3 BP 22 FY 2022 ONLY</t>
  </si>
  <si>
    <t>FPT.3 BP 22 FY 2023 ONLY</t>
  </si>
  <si>
    <t>FPT .3 Rate Treatment =</t>
  </si>
  <si>
    <t>Rate Increase = 1</t>
  </si>
  <si>
    <t>No Rate Increase = 0</t>
  </si>
  <si>
    <t>Table 6, Line 12</t>
  </si>
  <si>
    <t>PTP BP 22</t>
  </si>
  <si>
    <t>NT BP 22</t>
  </si>
  <si>
    <t>IS BP  22</t>
  </si>
  <si>
    <t>IM BP 22</t>
  </si>
  <si>
    <t>TGT BP 22</t>
  </si>
  <si>
    <t>IE BP 22</t>
  </si>
  <si>
    <t>Utility Delivery BP 22</t>
  </si>
  <si>
    <t>Regional Compliance Charge BP 22</t>
  </si>
  <si>
    <t>Regional Coordinator Charge BP 22</t>
  </si>
  <si>
    <t>SCD BP 22</t>
  </si>
  <si>
    <t>GSR BP 22</t>
  </si>
  <si>
    <t>Table 6, Line 6</t>
  </si>
  <si>
    <t>Table 8, Line 40</t>
  </si>
  <si>
    <t>Table 8, Line 41</t>
  </si>
  <si>
    <t>Table 8, Line 42</t>
  </si>
  <si>
    <t>Table 8, Line 29</t>
  </si>
  <si>
    <t>Table 8, Line 51</t>
  </si>
  <si>
    <t>Table 10.1, Line 56</t>
  </si>
  <si>
    <t>Table 10.1, Line 59</t>
  </si>
  <si>
    <t>Table 10.1, Line 60</t>
  </si>
  <si>
    <t>Table 10.1, Line 61</t>
  </si>
  <si>
    <t>Table 10.1, Line 62</t>
  </si>
  <si>
    <t>Table 10.1, Line 63</t>
  </si>
  <si>
    <t>1/ Per BP-22 settlement agreement, Bonneville will not adopt a capacity charge for the delayed return of transmission losses for BP-22</t>
  </si>
  <si>
    <t>2/ Per BP-22 settlement agreement, if BPA joins the Western EIM, a discount to balancing services will be provided based on the assumption of a 50% offset in hydro-shift costs and spill costs for non-regulation balancing reserves, as calculated through the GARD model.</t>
  </si>
  <si>
    <t>FY 2022 FPT Revenues  1/</t>
  </si>
  <si>
    <t>FY 2023 FPT Revenues  1/</t>
  </si>
  <si>
    <t>FY 2020-2021 Rates</t>
  </si>
  <si>
    <t>FY 2022-2023 Rates</t>
  </si>
  <si>
    <t>FY 2022</t>
  </si>
  <si>
    <t>FY 2023</t>
  </si>
  <si>
    <t>Regional Compliance Enforcement…………………..</t>
  </si>
  <si>
    <t>Regional Coordinator………………………</t>
  </si>
  <si>
    <t>Consistent with the TC-20 settlement agreement, costs associated with NT Redispatch are allocated to all Network segment users and an adjustment is no longer required.</t>
  </si>
  <si>
    <r>
      <t>EIM Ancillary Services Summary</t>
    </r>
    <r>
      <rPr>
        <b/>
        <vertAlign val="superscript"/>
        <sz val="12"/>
        <rFont val="Times New Roman"/>
        <family val="1"/>
      </rPr>
      <t>2</t>
    </r>
  </si>
  <si>
    <t>EIM Regulation and Frequency Response</t>
  </si>
  <si>
    <t xml:space="preserve">        EIM VERBS </t>
  </si>
  <si>
    <t xml:space="preserve">        EIM DERBS</t>
  </si>
  <si>
    <t xml:space="preserve">EIM Total Ancillary Revenues </t>
  </si>
  <si>
    <t>EIM Balancing Reseves (VERBS Wind, VERBS Solar, DERBS)</t>
  </si>
  <si>
    <t xml:space="preserve">        Non-EIM VERBS </t>
  </si>
  <si>
    <t xml:space="preserve">        Non-EIM DERBS</t>
  </si>
  <si>
    <t>Non-EIM Regulation and Frequency Response</t>
  </si>
  <si>
    <t xml:space="preserve">    Non-EIM DERBS Inc</t>
  </si>
  <si>
    <t xml:space="preserve">    Non-EIM DERBS Dec</t>
  </si>
  <si>
    <t xml:space="preserve">    Non-EIM VERBS  Wind (BP-22)</t>
  </si>
  <si>
    <t xml:space="preserve">    Non-EIM VERBS Solar (BP-22)</t>
  </si>
  <si>
    <r>
      <t>EIM RFR</t>
    </r>
    <r>
      <rPr>
        <b/>
        <vertAlign val="superscript"/>
        <sz val="12"/>
        <rFont val="Times New Roman"/>
        <family val="1"/>
      </rPr>
      <t>2</t>
    </r>
  </si>
  <si>
    <r>
      <t>EIM DERBS</t>
    </r>
    <r>
      <rPr>
        <b/>
        <vertAlign val="superscript"/>
        <sz val="12"/>
        <rFont val="Times New Roman"/>
        <family val="1"/>
      </rPr>
      <t>2</t>
    </r>
  </si>
  <si>
    <t xml:space="preserve">   EIM DERBS Inc</t>
  </si>
  <si>
    <t xml:space="preserve">   EIM DERBS Dec</t>
  </si>
  <si>
    <t xml:space="preserve">    EIM VERBS  Wind (BP-22)</t>
  </si>
  <si>
    <r>
      <t>EIM VERBS - Wind</t>
    </r>
    <r>
      <rPr>
        <b/>
        <vertAlign val="superscript"/>
        <sz val="12"/>
        <rFont val="Times New Roman"/>
        <family val="1"/>
      </rPr>
      <t>2</t>
    </r>
  </si>
  <si>
    <r>
      <t>EIM VERBS - Solar</t>
    </r>
    <r>
      <rPr>
        <b/>
        <vertAlign val="superscript"/>
        <sz val="12"/>
        <rFont val="Times New Roman"/>
        <family val="1"/>
      </rPr>
      <t>2</t>
    </r>
  </si>
  <si>
    <t xml:space="preserve">    EIM VERBS Solar (BP-22)</t>
  </si>
  <si>
    <t>Non-EIM Regulation &amp; Frequency Response Rate</t>
  </si>
  <si>
    <t>Non-EIM DERBS Inc Rate</t>
  </si>
  <si>
    <t>Non-EIM DERBS Dec Rate</t>
  </si>
  <si>
    <t>Non-EIM VERBS Wind Rate</t>
  </si>
  <si>
    <t>Non-EIM VERBS Solar Rate</t>
  </si>
  <si>
    <r>
      <t>EIM Adjustment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with DERBS Settlement</t>
    </r>
    <r>
      <rPr>
        <b/>
        <vertAlign val="superscript"/>
        <sz val="12"/>
        <rFont val="Times New Roman"/>
        <family val="1"/>
      </rPr>
      <t>3</t>
    </r>
  </si>
  <si>
    <t>EIM Reserve Costs</t>
  </si>
  <si>
    <t>EIM Regulation &amp; Frequency Response (RFR)</t>
  </si>
  <si>
    <t>EIM Regulation &amp; Frequency Response Rate</t>
  </si>
  <si>
    <t>EIM Dispatchable Energy Resource Balancing (DERBS)</t>
  </si>
  <si>
    <t>EIM DERBS Inc Rate</t>
  </si>
  <si>
    <t>EIM DERBS Dec Rate</t>
  </si>
  <si>
    <t>EIM Variable Energy Resource Balancing - VERBS Wind</t>
  </si>
  <si>
    <t>EIM VERBS Wind Rate</t>
  </si>
  <si>
    <t>EIM Variable Energy Resource Balancing - VERBS Solar</t>
  </si>
  <si>
    <t>EIM VERBS Solar Rate</t>
  </si>
  <si>
    <t>Non-EIM Reserve Costs</t>
  </si>
  <si>
    <t xml:space="preserve">    VERBS Uncommitted</t>
  </si>
  <si>
    <t xml:space="preserve">    VERBS Solar Uncommitted</t>
  </si>
  <si>
    <t>mills/kW-hour</t>
  </si>
  <si>
    <r>
      <t xml:space="preserve">Table 10.3 - Summary of Current and Proposed Generation Inputs Rates
</t>
    </r>
    <r>
      <rPr>
        <b/>
        <sz val="14"/>
        <color rgb="FF0070C0"/>
        <rFont val="Times New Roman"/>
        <family val="1"/>
      </rPr>
      <t>REV 8/11/2021</t>
    </r>
  </si>
  <si>
    <r>
      <t xml:space="preserve">Table 10.4 - Calculation of Generation Inputs Rates
</t>
    </r>
    <r>
      <rPr>
        <b/>
        <sz val="14"/>
        <color rgb="FF0070C0"/>
        <rFont val="Times New Roman"/>
        <family val="1"/>
      </rPr>
      <t>REV 8/11/2021</t>
    </r>
  </si>
  <si>
    <t>REV 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</si>
</sst>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@*."/>
    <numFmt numFmtId="168" formatCode="0.00000"/>
    <numFmt numFmtId="169" formatCode="0.0000"/>
    <numFmt numFmtId="170" formatCode="#,##0.000"/>
    <numFmt numFmtId="171" formatCode="#,##0.0"/>
    <numFmt numFmtId="172" formatCode="0.000000"/>
    <numFmt numFmtId="173" formatCode="#,##0.0000"/>
    <numFmt numFmtId="174" formatCode="0.0000;;&quot;-&quot;"/>
    <numFmt numFmtId="175" formatCode="#,##0.0000_);\(#,##0.0000\)"/>
    <numFmt numFmtId="176" formatCode="#,###;;&quot;-&quot;"/>
    <numFmt numFmtId="177" formatCode="_(* #,##0.000_);_(* \(#,##0.00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%;;&quot;-&quot;"/>
    <numFmt numFmtId="181" formatCode="#,##0.000000"/>
    <numFmt numFmtId="182" formatCode="_(* #,##0.00_);_(* \(#,##0.00\);_(* &quot;-&quot;_);_(@_)"/>
    <numFmt numFmtId="183" formatCode="_(* #,##0.0_);_(* \(#,##0.0\);_(* &quot;-&quot;??_);_(@_)"/>
    <numFmt numFmtId="184" formatCode="0.0000000"/>
    <numFmt numFmtId="185" formatCode="0.00000000000"/>
    <numFmt numFmtId="186" formatCode="_([$€-2]* #,##0.00_);_([$€-2]* \(#,##0.00\);_([$€-2]* &quot;-&quot;??_)"/>
    <numFmt numFmtId="187" formatCode="[$-409]mmm\-yy;@"/>
    <numFmt numFmtId="188" formatCode="&quot;$&quot;#,##0"/>
    <numFmt numFmtId="189" formatCode="0.0"/>
    <numFmt numFmtId="190" formatCode="0.0_)\%;\(0.0\)\%;0.0_)\%;@_)_%"/>
    <numFmt numFmtId="191" formatCode="#,##0.0_)_%;\(#,##0.0\)_%;0.0_)_%;@_)_%"/>
    <numFmt numFmtId="192" formatCode="#,##0.0_);\(#,##0.0\);#,##0.0_);@_)"/>
    <numFmt numFmtId="193" formatCode="&quot;$&quot;_(#,##0.00_);&quot;$&quot;\(#,##0.00\);&quot;$&quot;_(0.00_);@_)"/>
    <numFmt numFmtId="194" formatCode="#,##0.00_);\(#,##0.00\);0.00_);@_)"/>
    <numFmt numFmtId="195" formatCode="\€_(#,##0.00_);\€\(#,##0.00\);\€_(0.00_);@_)"/>
    <numFmt numFmtId="196" formatCode="#,##0.0_)\x;\(#,##0.0\)\x;0.0_)\x;@_)_x"/>
    <numFmt numFmtId="197" formatCode="#,##0.0_)_x;\(#,##0.0\)_x;0.0_)_x;@_)_x"/>
    <numFmt numFmtId="198" formatCode="&quot;$&quot;#,##0.0;[Red]\-&quot;$&quot;#,##0.0"/>
    <numFmt numFmtId="199" formatCode="d\.mmm\.yy"/>
    <numFmt numFmtId="200" formatCode="_(* #,##0.00_);\(* #,##0.00\);_(* &quot;-&quot;??_);_(@_)"/>
    <numFmt numFmtId="201" formatCode="_-* #,##0.0_-;\-* #,##0.0_-;_-* &quot;-&quot;??_-;_-@_-"/>
    <numFmt numFmtId="202" formatCode="#,##0.00&quot; $&quot;;\-#,##0.00&quot; $&quot;"/>
    <numFmt numFmtId="203" formatCode="#,##0.0000\ ;[Red]\(#,##0.0000\)"/>
    <numFmt numFmtId="204" formatCode="0.00_)"/>
    <numFmt numFmtId="205" formatCode="0.000%;;"/>
    <numFmt numFmtId="206" formatCode="_(* #,##0.0_);_(* \(#,##0.0\);_(* &quot;-&quot;_);_(@_)"/>
    <numFmt numFmtId="207" formatCode="mmm\-yyyy"/>
    <numFmt numFmtId="208" formatCode="&quot;$&quot;#,##0.00"/>
    <numFmt numFmtId="209" formatCode="&quot;$&quot;#,##0.0000"/>
    <numFmt numFmtId="210" formatCode="&quot;$&quot;#,##0.000"/>
  </numFmts>
  <fonts count="2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sz val="8"/>
      <name val="Courier New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Palatino"/>
      <family val="1"/>
    </font>
    <font>
      <i/>
      <sz val="11"/>
      <name val="Palatino"/>
      <family val="1"/>
    </font>
    <font>
      <u/>
      <sz val="11"/>
      <color indexed="12"/>
      <name val="Palatino"/>
      <family val="1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Comic Sans MS"/>
      <family val="2"/>
    </font>
    <font>
      <sz val="11"/>
      <color theme="1"/>
      <name val="Century Gothic"/>
      <family val="2"/>
    </font>
    <font>
      <sz val="11"/>
      <color indexed="9"/>
      <name val="Calibri"/>
      <family val="2"/>
    </font>
    <font>
      <sz val="10"/>
      <color theme="0"/>
      <name val="Comic Sans MS"/>
      <family val="2"/>
    </font>
    <font>
      <sz val="11"/>
      <color theme="0"/>
      <name val="Century Gothic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Comic Sans MS"/>
      <family val="2"/>
    </font>
    <font>
      <sz val="11"/>
      <color rgb="FF9C0006"/>
      <name val="Century Gothic"/>
      <family val="2"/>
    </font>
    <font>
      <b/>
      <sz val="11"/>
      <color indexed="52"/>
      <name val="Calibri"/>
      <family val="2"/>
    </font>
    <font>
      <b/>
      <sz val="10"/>
      <color rgb="FFFA7D00"/>
      <name val="Comic Sans MS"/>
      <family val="2"/>
    </font>
    <font>
      <b/>
      <sz val="11"/>
      <color rgb="FFFA7D00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omic Sans MS"/>
      <family val="2"/>
    </font>
    <font>
      <b/>
      <sz val="11"/>
      <color indexed="9"/>
      <name val="Calibri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i/>
      <sz val="11"/>
      <color indexed="23"/>
      <name val="Calibri"/>
      <family val="2"/>
    </font>
    <font>
      <i/>
      <sz val="10"/>
      <color rgb="FF7F7F7F"/>
      <name val="Comic Sans MS"/>
      <family val="2"/>
    </font>
    <font>
      <i/>
      <sz val="11"/>
      <color rgb="FF7F7F7F"/>
      <name val="Century Gothic"/>
      <family val="2"/>
    </font>
    <font>
      <sz val="10"/>
      <color rgb="FF006100"/>
      <name val="Comic Sans MS"/>
      <family val="2"/>
    </font>
    <font>
      <sz val="11"/>
      <color indexed="17"/>
      <name val="Calibri"/>
      <family val="2"/>
    </font>
    <font>
      <sz val="10"/>
      <color rgb="FF006100"/>
      <name val="Century Gothic"/>
      <family val="2"/>
    </font>
    <font>
      <sz val="11"/>
      <color rgb="FF006100"/>
      <name val="Calibri"/>
      <family val="2"/>
      <scheme val="minor"/>
    </font>
    <font>
      <sz val="11"/>
      <color rgb="FF006100"/>
      <name val="Century Gothic"/>
      <family val="2"/>
    </font>
    <font>
      <b/>
      <sz val="15"/>
      <color indexed="56"/>
      <name val="Calibri"/>
      <family val="2"/>
    </font>
    <font>
      <b/>
      <sz val="15"/>
      <color theme="3"/>
      <name val="Comic Sans MS"/>
      <family val="2"/>
    </font>
    <font>
      <b/>
      <sz val="15"/>
      <color theme="3"/>
      <name val="Century Gothic"/>
      <family val="2"/>
    </font>
    <font>
      <b/>
      <sz val="13"/>
      <color indexed="56"/>
      <name val="Calibri"/>
      <family val="2"/>
    </font>
    <font>
      <b/>
      <sz val="13"/>
      <color theme="3"/>
      <name val="Comic Sans MS"/>
      <family val="2"/>
    </font>
    <font>
      <b/>
      <sz val="13"/>
      <color theme="3"/>
      <name val="Century Gothic"/>
      <family val="2"/>
    </font>
    <font>
      <b/>
      <sz val="11"/>
      <color indexed="56"/>
      <name val="Calibri"/>
      <family val="2"/>
    </font>
    <font>
      <b/>
      <sz val="11"/>
      <color theme="3"/>
      <name val="Comic Sans MS"/>
      <family val="2"/>
    </font>
    <font>
      <b/>
      <sz val="11"/>
      <color theme="3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omic Sans MS"/>
      <family val="2"/>
    </font>
    <font>
      <sz val="11"/>
      <color indexed="62"/>
      <name val="Calibri"/>
      <family val="2"/>
    </font>
    <font>
      <sz val="11"/>
      <color rgb="FF3F3F76"/>
      <name val="Century Gothic"/>
      <family val="2"/>
    </font>
    <font>
      <sz val="11"/>
      <color indexed="52"/>
      <name val="Calibri"/>
      <family val="2"/>
    </font>
    <font>
      <sz val="10"/>
      <color rgb="FFFA7D00"/>
      <name val="Comic Sans MS"/>
      <family val="2"/>
    </font>
    <font>
      <sz val="11"/>
      <color rgb="FFFA7D00"/>
      <name val="Century Gothic"/>
      <family val="2"/>
    </font>
    <font>
      <sz val="11"/>
      <color indexed="60"/>
      <name val="Calibri"/>
      <family val="2"/>
    </font>
    <font>
      <sz val="10"/>
      <color rgb="FF9C6500"/>
      <name val="Comic Sans MS"/>
      <family val="2"/>
    </font>
    <font>
      <sz val="11"/>
      <color rgb="FF9C6500"/>
      <name val="Century Gothic"/>
      <family val="2"/>
    </font>
    <font>
      <b/>
      <sz val="11"/>
      <color indexed="63"/>
      <name val="Calibri"/>
      <family val="2"/>
    </font>
    <font>
      <b/>
      <sz val="10"/>
      <color rgb="FF3F3F3F"/>
      <name val="Comic Sans MS"/>
      <family val="2"/>
    </font>
    <font>
      <b/>
      <sz val="11"/>
      <color rgb="FF3F3F3F"/>
      <name val="Century Gothic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Comic Sans MS"/>
      <family val="2"/>
    </font>
    <font>
      <b/>
      <sz val="11"/>
      <color theme="1"/>
      <name val="Century Gothic"/>
      <family val="2"/>
    </font>
    <font>
      <sz val="9"/>
      <color indexed="20"/>
      <name val="Times New Roman"/>
      <family val="1"/>
    </font>
    <font>
      <sz val="11"/>
      <color indexed="10"/>
      <name val="Calibri"/>
      <family val="2"/>
    </font>
    <font>
      <sz val="10"/>
      <color rgb="FFFF0000"/>
      <name val="Comic Sans MS"/>
      <family val="2"/>
    </font>
    <font>
      <sz val="11"/>
      <color rgb="FFFF0000"/>
      <name val="Century Gothic"/>
      <family val="2"/>
    </font>
    <font>
      <b/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6100"/>
      <name val="Calibri"/>
      <family val="2"/>
    </font>
    <font>
      <sz val="10"/>
      <color indexed="20"/>
      <name val="Arial"/>
      <family val="2"/>
    </font>
    <font>
      <sz val="10"/>
      <color theme="1"/>
      <name val="Gadug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11"/>
      <name val="Calibri"/>
      <family val="2"/>
    </font>
    <font>
      <sz val="11"/>
      <color indexed="9"/>
      <name val="Arial"/>
      <family val="2"/>
    </font>
    <font>
      <sz val="11"/>
      <color indexed="36"/>
      <name val="Calibri"/>
      <family val="2"/>
    </font>
    <font>
      <sz val="11"/>
      <color indexed="20"/>
      <name val="Arial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Arial"/>
      <family val="2"/>
    </font>
    <font>
      <sz val="8"/>
      <name val="Palatino"/>
      <family val="1"/>
    </font>
    <font>
      <sz val="10"/>
      <name val="Tahoma"/>
      <family val="2"/>
    </font>
    <font>
      <sz val="12"/>
      <name val="Helv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8"/>
      <name val="Lucida Console"/>
      <family val="3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1"/>
      <color indexed="55"/>
      <name val="Calibri"/>
      <family val="2"/>
    </font>
    <font>
      <i/>
      <sz val="11"/>
      <color indexed="23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2"/>
      <color indexed="24"/>
      <name val="Arial"/>
      <family val="2"/>
    </font>
    <font>
      <sz val="11"/>
      <color indexed="58"/>
      <name val="Calibri"/>
      <family val="2"/>
    </font>
    <font>
      <sz val="11"/>
      <color indexed="17"/>
      <name val="Arial"/>
      <family val="2"/>
    </font>
    <font>
      <sz val="6"/>
      <color indexed="16"/>
      <name val="Palatino"/>
      <family val="1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21"/>
      <name val="Calibri"/>
      <family val="2"/>
    </font>
    <font>
      <b/>
      <sz val="13"/>
      <color indexed="56"/>
      <name val="Arial"/>
      <family val="2"/>
    </font>
    <font>
      <b/>
      <sz val="13"/>
      <color indexed="2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21"/>
      <name val="Calibri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21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11"/>
      <color rgb="FF000000"/>
      <name val="Calibri"/>
      <family val="2"/>
      <scheme val="minor"/>
    </font>
    <font>
      <b/>
      <sz val="10"/>
      <color theme="1"/>
      <name val="Gadugi"/>
      <family val="2"/>
    </font>
    <font>
      <sz val="10"/>
      <name val="Gadugi"/>
      <family val="2"/>
    </font>
    <font>
      <b/>
      <sz val="10"/>
      <color rgb="FF0070C0"/>
      <name val="Gadugi"/>
      <family val="2"/>
    </font>
    <font>
      <b/>
      <sz val="10"/>
      <name val="Gadugi"/>
      <family val="2"/>
    </font>
    <font>
      <sz val="11"/>
      <name val="Gadugi"/>
      <family val="2"/>
    </font>
    <font>
      <sz val="12"/>
      <name val="Gadugi"/>
      <family val="2"/>
    </font>
    <font>
      <b/>
      <sz val="12"/>
      <name val="Gadugi"/>
      <family val="2"/>
    </font>
    <font>
      <sz val="12"/>
      <color indexed="12"/>
      <name val="Gadugi"/>
      <family val="2"/>
    </font>
    <font>
      <b/>
      <sz val="10"/>
      <color indexed="17"/>
      <name val="Gadugi"/>
      <family val="2"/>
    </font>
    <font>
      <sz val="10"/>
      <color indexed="17"/>
      <name val="Gadugi"/>
      <family val="2"/>
    </font>
    <font>
      <sz val="10"/>
      <color indexed="12"/>
      <name val="Gadugi"/>
      <family val="2"/>
    </font>
    <font>
      <sz val="10"/>
      <color indexed="10"/>
      <name val="Gadugi"/>
      <family val="2"/>
    </font>
    <font>
      <sz val="10"/>
      <color rgb="FF0070C0"/>
      <name val="Gadugi"/>
      <family val="2"/>
    </font>
    <font>
      <sz val="10"/>
      <color indexed="23"/>
      <name val="Gadugi"/>
      <family val="2"/>
    </font>
    <font>
      <u/>
      <sz val="10"/>
      <name val="Gadugi"/>
      <family val="2"/>
    </font>
    <font>
      <b/>
      <sz val="10"/>
      <color indexed="12"/>
      <name val="Gadugi"/>
      <family val="2"/>
    </font>
    <font>
      <b/>
      <sz val="10"/>
      <color indexed="8"/>
      <name val="Gadugi"/>
      <family val="2"/>
    </font>
    <font>
      <strike/>
      <sz val="10"/>
      <name val="Gadugi"/>
      <family val="2"/>
    </font>
    <font>
      <sz val="10"/>
      <color rgb="FFFF0000"/>
      <name val="Gadugi"/>
      <family val="2"/>
    </font>
    <font>
      <b/>
      <sz val="12"/>
      <color rgb="FF0070C0"/>
      <name val="Gadugi"/>
      <family val="2"/>
    </font>
    <font>
      <b/>
      <sz val="12"/>
      <color rgb="FFFF0000"/>
      <name val="Gadugi"/>
      <family val="2"/>
    </font>
    <font>
      <sz val="12"/>
      <color rgb="FFFF0000"/>
      <name val="Gadugi"/>
      <family val="2"/>
    </font>
    <font>
      <i/>
      <sz val="12"/>
      <name val="Gadugi"/>
      <family val="2"/>
    </font>
    <font>
      <b/>
      <sz val="12"/>
      <color theme="0"/>
      <name val="Gadugi"/>
      <family val="2"/>
    </font>
    <font>
      <sz val="12"/>
      <color theme="1"/>
      <name val="Gadugi"/>
      <family val="2"/>
    </font>
    <font>
      <b/>
      <i/>
      <sz val="12"/>
      <name val="Gadug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name val="Palatino"/>
    </font>
    <font>
      <sz val="10"/>
      <color rgb="FF0000FF"/>
      <name val="Gadugi"/>
      <family val="2"/>
    </font>
    <font>
      <sz val="12"/>
      <color theme="0"/>
      <name val="Gadugi"/>
      <family val="2"/>
    </font>
    <font>
      <b/>
      <sz val="12"/>
      <name val="Times New Roman"/>
      <family val="1"/>
    </font>
    <font>
      <strike/>
      <sz val="12"/>
      <name val="Times New Roman"/>
      <family val="1"/>
    </font>
    <font>
      <b/>
      <i/>
      <strike/>
      <sz val="12"/>
      <name val="Times New Roman"/>
      <family val="1"/>
    </font>
    <font>
      <b/>
      <strike/>
      <sz val="12"/>
      <name val="Times New Roman"/>
      <family val="1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i/>
      <strike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Gadugi"/>
      <family val="2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4"/>
      <color rgb="FF0070C0"/>
      <name val="Times New Roman"/>
      <family val="1"/>
    </font>
    <font>
      <b/>
      <sz val="12"/>
      <color rgb="FF0070C0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556">
    <xf numFmtId="0" fontId="0" fillId="0" borderId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30" fillId="0" borderId="0"/>
    <xf numFmtId="171" fontId="17" fillId="0" borderId="0"/>
    <xf numFmtId="0" fontId="19" fillId="0" borderId="0"/>
    <xf numFmtId="0" fontId="19" fillId="0" borderId="0"/>
    <xf numFmtId="0" fontId="17" fillId="0" borderId="0"/>
    <xf numFmtId="0" fontId="30" fillId="0" borderId="0"/>
    <xf numFmtId="0" fontId="37" fillId="0" borderId="0"/>
    <xf numFmtId="0" fontId="17" fillId="0" borderId="0"/>
    <xf numFmtId="0" fontId="37" fillId="0" borderId="0"/>
    <xf numFmtId="0" fontId="17" fillId="0" borderId="0"/>
    <xf numFmtId="0" fontId="37" fillId="0" borderId="0"/>
    <xf numFmtId="0" fontId="19" fillId="0" borderId="0"/>
    <xf numFmtId="0" fontId="19" fillId="0" borderId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1" fillId="0" borderId="1">
      <alignment horizontal="center"/>
    </xf>
    <xf numFmtId="3" fontId="20" fillId="0" borderId="0" applyFont="0" applyFill="0" applyBorder="0" applyAlignment="0" applyProtection="0"/>
    <xf numFmtId="0" fontId="20" fillId="2" borderId="0" applyNumberFormat="0" applyFont="0" applyBorder="0" applyAlignment="0" applyProtection="0"/>
    <xf numFmtId="0" fontId="17" fillId="0" borderId="0"/>
    <xf numFmtId="0" fontId="16" fillId="0" borderId="0"/>
    <xf numFmtId="43" fontId="17" fillId="0" borderId="0" applyFont="0" applyFill="0" applyBorder="0" applyAlignment="0" applyProtection="0"/>
    <xf numFmtId="0" fontId="15" fillId="0" borderId="0"/>
    <xf numFmtId="0" fontId="17" fillId="0" borderId="0"/>
    <xf numFmtId="0" fontId="40" fillId="39" borderId="0" applyNumberFormat="0" applyBorder="0" applyAlignment="0" applyProtection="0"/>
    <xf numFmtId="0" fontId="41" fillId="1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6" borderId="0" applyNumberFormat="0" applyBorder="0" applyAlignment="0" applyProtection="0"/>
    <xf numFmtId="0" fontId="40" fillId="40" borderId="0" applyNumberFormat="0" applyBorder="0" applyAlignment="0" applyProtection="0"/>
    <xf numFmtId="0" fontId="41" fillId="2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20" borderId="0" applyNumberFormat="0" applyBorder="0" applyAlignment="0" applyProtection="0"/>
    <xf numFmtId="0" fontId="40" fillId="41" borderId="0" applyNumberFormat="0" applyBorder="0" applyAlignment="0" applyProtection="0"/>
    <xf numFmtId="0" fontId="41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2" borderId="0" applyNumberFormat="0" applyBorder="0" applyAlignment="0" applyProtection="0"/>
    <xf numFmtId="0" fontId="41" fillId="2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1" fillId="3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2" borderId="0" applyNumberFormat="0" applyBorder="0" applyAlignment="0" applyProtection="0"/>
    <xf numFmtId="0" fontId="40" fillId="44" borderId="0" applyNumberFormat="0" applyBorder="0" applyAlignment="0" applyProtection="0"/>
    <xf numFmtId="0" fontId="41" fillId="3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36" borderId="0" applyNumberFormat="0" applyBorder="0" applyAlignment="0" applyProtection="0"/>
    <xf numFmtId="0" fontId="40" fillId="45" borderId="0" applyNumberFormat="0" applyBorder="0" applyAlignment="0" applyProtection="0"/>
    <xf numFmtId="0" fontId="41" fillId="1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7" borderId="0" applyNumberFormat="0" applyBorder="0" applyAlignment="0" applyProtection="0"/>
    <xf numFmtId="0" fontId="40" fillId="46" borderId="0" applyNumberFormat="0" applyBorder="0" applyAlignment="0" applyProtection="0"/>
    <xf numFmtId="0" fontId="41" fillId="21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21" borderId="0" applyNumberFormat="0" applyBorder="0" applyAlignment="0" applyProtection="0"/>
    <xf numFmtId="0" fontId="40" fillId="47" borderId="0" applyNumberFormat="0" applyBorder="0" applyAlignment="0" applyProtection="0"/>
    <xf numFmtId="0" fontId="41" fillId="2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25" borderId="0" applyNumberFormat="0" applyBorder="0" applyAlignment="0" applyProtection="0"/>
    <xf numFmtId="0" fontId="40" fillId="42" borderId="0" applyNumberFormat="0" applyBorder="0" applyAlignment="0" applyProtection="0"/>
    <xf numFmtId="0" fontId="41" fillId="2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9" borderId="0" applyNumberFormat="0" applyBorder="0" applyAlignment="0" applyProtection="0"/>
    <xf numFmtId="0" fontId="40" fillId="45" borderId="0" applyNumberFormat="0" applyBorder="0" applyAlignment="0" applyProtection="0"/>
    <xf numFmtId="0" fontId="41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33" borderId="0" applyNumberFormat="0" applyBorder="0" applyAlignment="0" applyProtection="0"/>
    <xf numFmtId="0" fontId="40" fillId="48" borderId="0" applyNumberFormat="0" applyBorder="0" applyAlignment="0" applyProtection="0"/>
    <xf numFmtId="0" fontId="41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2" fillId="37" borderId="0" applyNumberFormat="0" applyBorder="0" applyAlignment="0" applyProtection="0"/>
    <xf numFmtId="0" fontId="43" fillId="49" borderId="0" applyNumberFormat="0" applyBorder="0" applyAlignment="0" applyProtection="0"/>
    <xf numFmtId="0" fontId="44" fillId="1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5" fillId="18" borderId="0" applyNumberFormat="0" applyBorder="0" applyAlignment="0" applyProtection="0"/>
    <xf numFmtId="0" fontId="43" fillId="46" borderId="0" applyNumberFormat="0" applyBorder="0" applyAlignment="0" applyProtection="0"/>
    <xf numFmtId="0" fontId="44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22" borderId="0" applyNumberFormat="0" applyBorder="0" applyAlignment="0" applyProtection="0"/>
    <xf numFmtId="0" fontId="43" fillId="47" borderId="0" applyNumberFormat="0" applyBorder="0" applyAlignment="0" applyProtection="0"/>
    <xf numFmtId="0" fontId="44" fillId="2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5" fillId="26" borderId="0" applyNumberFormat="0" applyBorder="0" applyAlignment="0" applyProtection="0"/>
    <xf numFmtId="0" fontId="43" fillId="50" borderId="0" applyNumberFormat="0" applyBorder="0" applyAlignment="0" applyProtection="0"/>
    <xf numFmtId="0" fontId="44" fillId="3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5" fillId="30" borderId="0" applyNumberFormat="0" applyBorder="0" applyAlignment="0" applyProtection="0"/>
    <xf numFmtId="0" fontId="43" fillId="51" borderId="0" applyNumberFormat="0" applyBorder="0" applyAlignment="0" applyProtection="0"/>
    <xf numFmtId="0" fontId="44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5" fillId="34" borderId="0" applyNumberFormat="0" applyBorder="0" applyAlignment="0" applyProtection="0"/>
    <xf numFmtId="0" fontId="43" fillId="52" borderId="0" applyNumberFormat="0" applyBorder="0" applyAlignment="0" applyProtection="0"/>
    <xf numFmtId="0" fontId="44" fillId="38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5" fillId="38" borderId="0" applyNumberFormat="0" applyBorder="0" applyAlignment="0" applyProtection="0"/>
    <xf numFmtId="0" fontId="46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5" fillId="15" borderId="0" applyNumberFormat="0" applyBorder="0" applyAlignment="0" applyProtection="0"/>
    <xf numFmtId="0" fontId="43" fillId="54" borderId="0" applyNumberFormat="0" applyBorder="0" applyAlignment="0" applyProtection="0"/>
    <xf numFmtId="0" fontId="44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5" fillId="19" borderId="0" applyNumberFormat="0" applyBorder="0" applyAlignment="0" applyProtection="0"/>
    <xf numFmtId="0" fontId="46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5" fillId="23" borderId="0" applyNumberFormat="0" applyBorder="0" applyAlignment="0" applyProtection="0"/>
    <xf numFmtId="0" fontId="46" fillId="27" borderId="0" applyNumberFormat="0" applyBorder="0" applyAlignment="0" applyProtection="0"/>
    <xf numFmtId="0" fontId="44" fillId="2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5" fillId="27" borderId="0" applyNumberFormat="0" applyBorder="0" applyAlignment="0" applyProtection="0"/>
    <xf numFmtId="0" fontId="43" fillId="51" borderId="0" applyNumberFormat="0" applyBorder="0" applyAlignment="0" applyProtection="0"/>
    <xf numFmtId="0" fontId="44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5" fillId="31" borderId="0" applyNumberFormat="0" applyBorder="0" applyAlignment="0" applyProtection="0"/>
    <xf numFmtId="0" fontId="46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5" fillId="35" borderId="0" applyNumberFormat="0" applyBorder="0" applyAlignment="0" applyProtection="0"/>
    <xf numFmtId="0" fontId="47" fillId="40" borderId="0" applyNumberFormat="0" applyBorder="0" applyAlignment="0" applyProtection="0"/>
    <xf numFmtId="0" fontId="48" fillId="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9" fillId="9" borderId="0" applyNumberFormat="0" applyBorder="0" applyAlignment="0" applyProtection="0"/>
    <xf numFmtId="0" fontId="50" fillId="57" borderId="15" applyNumberFormat="0" applyAlignment="0" applyProtection="0"/>
    <xf numFmtId="0" fontId="51" fillId="12" borderId="9" applyNumberFormat="0" applyAlignment="0" applyProtection="0"/>
    <xf numFmtId="0" fontId="50" fillId="57" borderId="15" applyNumberFormat="0" applyAlignment="0" applyProtection="0"/>
    <xf numFmtId="0" fontId="50" fillId="57" borderId="15" applyNumberFormat="0" applyAlignment="0" applyProtection="0"/>
    <xf numFmtId="0" fontId="52" fillId="12" borderId="9" applyNumberFormat="0" applyAlignment="0" applyProtection="0"/>
    <xf numFmtId="0" fontId="53" fillId="13" borderId="12" applyNumberFormat="0" applyAlignment="0" applyProtection="0"/>
    <xf numFmtId="0" fontId="54" fillId="13" borderId="12" applyNumberFormat="0" applyAlignment="0" applyProtection="0"/>
    <xf numFmtId="0" fontId="55" fillId="58" borderId="16" applyNumberFormat="0" applyAlignment="0" applyProtection="0"/>
    <xf numFmtId="0" fontId="55" fillId="58" borderId="16" applyNumberFormat="0" applyAlignment="0" applyProtection="0"/>
    <xf numFmtId="0" fontId="55" fillId="58" borderId="16" applyNumberFormat="0" applyAlignment="0" applyProtection="0"/>
    <xf numFmtId="0" fontId="53" fillId="13" borderId="12" applyNumberFormat="0" applyAlignment="0" applyProtection="0"/>
    <xf numFmtId="0" fontId="56" fillId="13" borderId="1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2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3" fillId="8" borderId="0" applyNumberFormat="0" applyBorder="0" applyAlignment="0" applyProtection="0"/>
    <xf numFmtId="0" fontId="62" fillId="41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0" borderId="17" applyNumberFormat="0" applyFill="0" applyAlignment="0" applyProtection="0"/>
    <xf numFmtId="0" fontId="67" fillId="0" borderId="6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8" fillId="0" borderId="6" applyNumberFormat="0" applyFill="0" applyAlignment="0" applyProtection="0"/>
    <xf numFmtId="0" fontId="69" fillId="0" borderId="18" applyNumberFormat="0" applyFill="0" applyAlignment="0" applyProtection="0"/>
    <xf numFmtId="0" fontId="70" fillId="0" borderId="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1" fillId="0" borderId="7" applyNumberFormat="0" applyFill="0" applyAlignment="0" applyProtection="0"/>
    <xf numFmtId="0" fontId="72" fillId="0" borderId="19" applyNumberFormat="0" applyFill="0" applyAlignment="0" applyProtection="0"/>
    <xf numFmtId="0" fontId="73" fillId="0" borderId="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4" fillId="0" borderId="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11" borderId="9" applyNumberFormat="0" applyAlignment="0" applyProtection="0"/>
    <xf numFmtId="0" fontId="77" fillId="11" borderId="9" applyNumberFormat="0" applyAlignment="0" applyProtection="0"/>
    <xf numFmtId="0" fontId="78" fillId="44" borderId="15" applyNumberFormat="0" applyAlignment="0" applyProtection="0"/>
    <xf numFmtId="0" fontId="78" fillId="44" borderId="15" applyNumberFormat="0" applyAlignment="0" applyProtection="0"/>
    <xf numFmtId="0" fontId="78" fillId="44" borderId="15" applyNumberFormat="0" applyAlignment="0" applyProtection="0"/>
    <xf numFmtId="0" fontId="76" fillId="11" borderId="9" applyNumberFormat="0" applyAlignment="0" applyProtection="0"/>
    <xf numFmtId="0" fontId="79" fillId="11" borderId="9" applyNumberFormat="0" applyAlignment="0" applyProtection="0"/>
    <xf numFmtId="0" fontId="80" fillId="0" borderId="20" applyNumberFormat="0" applyFill="0" applyAlignment="0" applyProtection="0"/>
    <xf numFmtId="0" fontId="81" fillId="0" borderId="11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2" fillId="0" borderId="11" applyNumberFormat="0" applyFill="0" applyAlignment="0" applyProtection="0"/>
    <xf numFmtId="0" fontId="83" fillId="59" borderId="0" applyNumberFormat="0" applyBorder="0" applyAlignment="0" applyProtection="0"/>
    <xf numFmtId="0" fontId="84" fillId="10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5" fillId="10" borderId="0" applyNumberFormat="0" applyBorder="0" applyAlignment="0" applyProtection="0"/>
    <xf numFmtId="0" fontId="17" fillId="0" borderId="0"/>
    <xf numFmtId="0" fontId="16" fillId="0" borderId="0"/>
    <xf numFmtId="0" fontId="17" fillId="0" borderId="0"/>
    <xf numFmtId="0" fontId="17" fillId="0" borderId="0"/>
    <xf numFmtId="0" fontId="42" fillId="0" borderId="0"/>
    <xf numFmtId="0" fontId="16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>
      <alignment wrapText="1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16" fillId="0" borderId="0"/>
    <xf numFmtId="0" fontId="17" fillId="60" borderId="21" applyNumberFormat="0" applyFont="0" applyAlignment="0" applyProtection="0"/>
    <xf numFmtId="0" fontId="41" fillId="14" borderId="13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6" fillId="14" borderId="13" applyNumberFormat="0" applyFont="0" applyAlignment="0" applyProtection="0"/>
    <xf numFmtId="0" fontId="16" fillId="14" borderId="13" applyNumberFormat="0" applyFont="0" applyAlignment="0" applyProtection="0"/>
    <xf numFmtId="0" fontId="17" fillId="60" borderId="21" applyNumberFormat="0" applyFont="0" applyAlignment="0" applyProtection="0"/>
    <xf numFmtId="0" fontId="42" fillId="14" borderId="13" applyNumberFormat="0" applyFont="0" applyAlignment="0" applyProtection="0"/>
    <xf numFmtId="0" fontId="86" fillId="57" borderId="22" applyNumberFormat="0" applyAlignment="0" applyProtection="0"/>
    <xf numFmtId="0" fontId="87" fillId="12" borderId="10" applyNumberFormat="0" applyAlignment="0" applyProtection="0"/>
    <xf numFmtId="0" fontId="86" fillId="57" borderId="22" applyNumberFormat="0" applyAlignment="0" applyProtection="0"/>
    <xf numFmtId="0" fontId="86" fillId="57" borderId="22" applyNumberFormat="0" applyAlignment="0" applyProtection="0"/>
    <xf numFmtId="0" fontId="88" fillId="12" borderId="1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1" fillId="0" borderId="14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2" fillId="0" borderId="14" applyNumberFormat="0" applyFill="0" applyAlignment="0" applyProtection="0"/>
    <xf numFmtId="0" fontId="93" fillId="0" borderId="0">
      <alignment horizontal="center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8" fillId="9" borderId="0" applyNumberFormat="0" applyBorder="0" applyAlignment="0" applyProtection="0"/>
    <xf numFmtId="0" fontId="99" fillId="10" borderId="0" applyNumberFormat="0" applyBorder="0" applyAlignment="0" applyProtection="0"/>
    <xf numFmtId="0" fontId="46" fillId="19" borderId="0" applyNumberFormat="0" applyBorder="0" applyAlignment="0" applyProtection="0"/>
    <xf numFmtId="0" fontId="64" fillId="8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4" borderId="13" applyNumberFormat="0" applyFont="0" applyAlignment="0" applyProtection="0"/>
    <xf numFmtId="0" fontId="13" fillId="14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4" borderId="13" applyNumberFormat="0" applyFont="0" applyAlignment="0" applyProtection="0"/>
    <xf numFmtId="0" fontId="12" fillId="14" borderId="13" applyNumberFormat="0" applyFont="0" applyAlignment="0" applyProtection="0"/>
    <xf numFmtId="0" fontId="12" fillId="14" borderId="13" applyNumberFormat="0" applyFont="0" applyAlignment="0" applyProtection="0"/>
    <xf numFmtId="0" fontId="12" fillId="14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2" fillId="8" borderId="0" applyNumberFormat="0" applyBorder="0" applyAlignment="0" applyProtection="0"/>
    <xf numFmtId="0" fontId="17" fillId="0" borderId="0"/>
    <xf numFmtId="0" fontId="103" fillId="40" borderId="0" applyNumberFormat="0" applyBorder="0" applyAlignment="0" applyProtection="0"/>
    <xf numFmtId="0" fontId="17" fillId="0" borderId="0"/>
    <xf numFmtId="0" fontId="102" fillId="8" borderId="0" applyNumberFormat="0" applyBorder="0" applyAlignment="0" applyProtection="0"/>
    <xf numFmtId="0" fontId="12" fillId="0" borderId="0"/>
    <xf numFmtId="0" fontId="47" fillId="40" borderId="0" applyNumberFormat="0" applyBorder="0" applyAlignment="0" applyProtection="0"/>
    <xf numFmtId="44" fontId="57" fillId="0" borderId="0" applyFont="0" applyFill="0" applyBorder="0" applyAlignment="0" applyProtection="0"/>
    <xf numFmtId="0" fontId="61" fillId="8" borderId="0" applyNumberFormat="0" applyBorder="0" applyAlignment="0" applyProtection="0"/>
    <xf numFmtId="0" fontId="63" fillId="8" borderId="0" applyNumberFormat="0" applyBorder="0" applyAlignment="0" applyProtection="0"/>
    <xf numFmtId="0" fontId="57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4" borderId="13" applyNumberFormat="0" applyFont="0" applyAlignment="0" applyProtection="0"/>
    <xf numFmtId="0" fontId="11" fillId="14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0" fontId="104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4" borderId="13" applyNumberFormat="0" applyFont="0" applyAlignment="0" applyProtection="0"/>
    <xf numFmtId="0" fontId="11" fillId="14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4" borderId="13" applyNumberFormat="0" applyFont="0" applyAlignment="0" applyProtection="0"/>
    <xf numFmtId="0" fontId="11" fillId="14" borderId="13" applyNumberFormat="0" applyFont="0" applyAlignment="0" applyProtection="0"/>
    <xf numFmtId="0" fontId="11" fillId="14" borderId="13" applyNumberFormat="0" applyFont="0" applyAlignment="0" applyProtection="0"/>
    <xf numFmtId="0" fontId="11" fillId="14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72" fontId="17" fillId="0" borderId="0">
      <alignment horizontal="left" wrapText="1"/>
    </xf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79" fontId="17" fillId="0" borderId="0">
      <alignment horizontal="left" wrapText="1"/>
    </xf>
    <xf numFmtId="172" fontId="17" fillId="0" borderId="0">
      <alignment horizontal="left" wrapText="1"/>
    </xf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72" fontId="17" fillId="0" borderId="0">
      <alignment horizontal="left" wrapText="1"/>
    </xf>
    <xf numFmtId="0" fontId="114" fillId="0" borderId="0" applyNumberFormat="0" applyFill="0" applyBorder="0" applyAlignment="0" applyProtection="0"/>
    <xf numFmtId="38" fontId="22" fillId="59" borderId="0" applyNumberFormat="0" applyFont="0" applyAlignment="0" applyProtection="0"/>
    <xf numFmtId="38" fontId="22" fillId="59" borderId="0" applyNumberFormat="0" applyFont="0" applyAlignment="0" applyProtection="0"/>
    <xf numFmtId="38" fontId="22" fillId="59" borderId="0" applyNumberFormat="0" applyFont="0" applyAlignment="0" applyProtection="0"/>
    <xf numFmtId="38" fontId="22" fillId="59" borderId="0" applyNumberFormat="0" applyFont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Protection="0">
      <alignment horizontal="right"/>
    </xf>
    <xf numFmtId="197" fontId="22" fillId="0" borderId="0" applyFont="0" applyFill="0" applyBorder="0" applyProtection="0">
      <alignment horizontal="right"/>
    </xf>
    <xf numFmtId="197" fontId="22" fillId="0" borderId="0" applyFont="0" applyFill="0" applyBorder="0" applyProtection="0">
      <alignment horizontal="right"/>
    </xf>
    <xf numFmtId="197" fontId="22" fillId="0" borderId="0" applyFont="0" applyFill="0" applyBorder="0" applyProtection="0">
      <alignment horizontal="right"/>
    </xf>
    <xf numFmtId="179" fontId="17" fillId="0" borderId="0">
      <alignment horizontal="left" wrapText="1"/>
    </xf>
    <xf numFmtId="172" fontId="17" fillId="0" borderId="0">
      <alignment horizontal="left" wrapText="1"/>
    </xf>
    <xf numFmtId="0" fontId="115" fillId="0" borderId="0" applyNumberFormat="0" applyFill="0" applyBorder="0" applyProtection="0">
      <alignment vertical="top"/>
    </xf>
    <xf numFmtId="38" fontId="116" fillId="0" borderId="33" applyNumberFormat="0" applyFill="0" applyAlignment="0" applyProtection="0"/>
    <xf numFmtId="38" fontId="116" fillId="0" borderId="33" applyNumberFormat="0" applyFill="0" applyAlignment="0" applyProtection="0"/>
    <xf numFmtId="38" fontId="117" fillId="0" borderId="34" applyNumberFormat="0" applyFill="0" applyProtection="0">
      <alignment horizontal="center"/>
    </xf>
    <xf numFmtId="38" fontId="117" fillId="0" borderId="34" applyNumberFormat="0" applyFill="0" applyProtection="0">
      <alignment horizontal="center"/>
    </xf>
    <xf numFmtId="38" fontId="117" fillId="0" borderId="0" applyNumberFormat="0" applyFill="0" applyBorder="0" applyProtection="0">
      <alignment horizontal="left"/>
    </xf>
    <xf numFmtId="38" fontId="118" fillId="0" borderId="0" applyNumberFormat="0" applyFill="0" applyBorder="0" applyProtection="0">
      <alignment horizontal="centerContinuous"/>
    </xf>
    <xf numFmtId="179" fontId="17" fillId="0" borderId="0">
      <alignment horizontal="left" wrapText="1"/>
    </xf>
    <xf numFmtId="0" fontId="119" fillId="39" borderId="0" applyNumberFormat="0" applyBorder="0" applyAlignment="0" applyProtection="0"/>
    <xf numFmtId="0" fontId="43" fillId="63" borderId="0" applyNumberFormat="0" applyBorder="0" applyAlignment="0" applyProtection="0"/>
    <xf numFmtId="0" fontId="40" fillId="58" borderId="0" applyNumberFormat="0" applyBorder="0" applyAlignment="0" applyProtection="0"/>
    <xf numFmtId="0" fontId="120" fillId="39" borderId="0" applyNumberFormat="0" applyBorder="0" applyAlignment="0" applyProtection="0"/>
    <xf numFmtId="0" fontId="119" fillId="39" borderId="0" applyNumberFormat="0" applyBorder="0" applyAlignment="0" applyProtection="0"/>
    <xf numFmtId="0" fontId="40" fillId="58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0" fillId="39" borderId="0" applyNumberFormat="0" applyBorder="0" applyAlignment="0" applyProtection="0"/>
    <xf numFmtId="0" fontId="119" fillId="39" borderId="0" applyNumberFormat="0" applyBorder="0" applyAlignment="0" applyProtection="0"/>
    <xf numFmtId="0" fontId="119" fillId="39" borderId="0" applyNumberFormat="0" applyBorder="0" applyAlignment="0" applyProtection="0"/>
    <xf numFmtId="0" fontId="10" fillId="16" borderId="0" applyNumberFormat="0" applyBorder="0" applyAlignment="0" applyProtection="0"/>
    <xf numFmtId="0" fontId="120" fillId="39" borderId="0" applyNumberFormat="0" applyBorder="0" applyAlignment="0" applyProtection="0"/>
    <xf numFmtId="0" fontId="40" fillId="39" borderId="0" applyNumberFormat="0" applyBorder="0" applyAlignment="0" applyProtection="0"/>
    <xf numFmtId="0" fontId="120" fillId="39" borderId="0" applyNumberFormat="0" applyBorder="0" applyAlignment="0" applyProtection="0"/>
    <xf numFmtId="0" fontId="10" fillId="16" borderId="0" applyNumberFormat="0" applyBorder="0" applyAlignment="0" applyProtection="0"/>
    <xf numFmtId="0" fontId="119" fillId="40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120" fillId="40" borderId="0" applyNumberFormat="0" applyBorder="0" applyAlignment="0" applyProtection="0"/>
    <xf numFmtId="0" fontId="119" fillId="4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0" borderId="0" applyNumberFormat="0" applyBorder="0" applyAlignment="0" applyProtection="0"/>
    <xf numFmtId="0" fontId="119" fillId="40" borderId="0" applyNumberFormat="0" applyBorder="0" applyAlignment="0" applyProtection="0"/>
    <xf numFmtId="0" fontId="119" fillId="40" borderId="0" applyNumberFormat="0" applyBorder="0" applyAlignment="0" applyProtection="0"/>
    <xf numFmtId="0" fontId="10" fillId="20" borderId="0" applyNumberFormat="0" applyBorder="0" applyAlignment="0" applyProtection="0"/>
    <xf numFmtId="0" fontId="120" fillId="40" borderId="0" applyNumberFormat="0" applyBorder="0" applyAlignment="0" applyProtection="0"/>
    <xf numFmtId="0" fontId="40" fillId="40" borderId="0" applyNumberFormat="0" applyBorder="0" applyAlignment="0" applyProtection="0"/>
    <xf numFmtId="0" fontId="120" fillId="40" borderId="0" applyNumberFormat="0" applyBorder="0" applyAlignment="0" applyProtection="0"/>
    <xf numFmtId="0" fontId="10" fillId="20" borderId="0" applyNumberFormat="0" applyBorder="0" applyAlignment="0" applyProtection="0"/>
    <xf numFmtId="0" fontId="119" fillId="41" borderId="0" applyNumberFormat="0" applyBorder="0" applyAlignment="0" applyProtection="0"/>
    <xf numFmtId="0" fontId="43" fillId="60" borderId="0" applyNumberFormat="0" applyBorder="0" applyAlignment="0" applyProtection="0"/>
    <xf numFmtId="0" fontId="40" fillId="60" borderId="0" applyNumberFormat="0" applyBorder="0" applyAlignment="0" applyProtection="0"/>
    <xf numFmtId="0" fontId="120" fillId="41" borderId="0" applyNumberFormat="0" applyBorder="0" applyAlignment="0" applyProtection="0"/>
    <xf numFmtId="0" fontId="119" fillId="41" borderId="0" applyNumberFormat="0" applyBorder="0" applyAlignment="0" applyProtection="0"/>
    <xf numFmtId="0" fontId="40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0" fillId="41" borderId="0" applyNumberFormat="0" applyBorder="0" applyAlignment="0" applyProtection="0"/>
    <xf numFmtId="0" fontId="119" fillId="41" borderId="0" applyNumberFormat="0" applyBorder="0" applyAlignment="0" applyProtection="0"/>
    <xf numFmtId="0" fontId="119" fillId="41" borderId="0" applyNumberFormat="0" applyBorder="0" applyAlignment="0" applyProtection="0"/>
    <xf numFmtId="0" fontId="10" fillId="24" borderId="0" applyNumberFormat="0" applyBorder="0" applyAlignment="0" applyProtection="0"/>
    <xf numFmtId="0" fontId="120" fillId="41" borderId="0" applyNumberFormat="0" applyBorder="0" applyAlignment="0" applyProtection="0"/>
    <xf numFmtId="0" fontId="40" fillId="41" borderId="0" applyNumberFormat="0" applyBorder="0" applyAlignment="0" applyProtection="0"/>
    <xf numFmtId="0" fontId="120" fillId="41" borderId="0" applyNumberFormat="0" applyBorder="0" applyAlignment="0" applyProtection="0"/>
    <xf numFmtId="0" fontId="10" fillId="24" borderId="0" applyNumberFormat="0" applyBorder="0" applyAlignment="0" applyProtection="0"/>
    <xf numFmtId="0" fontId="119" fillId="42" borderId="0" applyNumberFormat="0" applyBorder="0" applyAlignment="0" applyProtection="0"/>
    <xf numFmtId="0" fontId="43" fillId="63" borderId="0" applyNumberFormat="0" applyBorder="0" applyAlignment="0" applyProtection="0"/>
    <xf numFmtId="0" fontId="40" fillId="58" borderId="0" applyNumberFormat="0" applyBorder="0" applyAlignment="0" applyProtection="0"/>
    <xf numFmtId="0" fontId="120" fillId="42" borderId="0" applyNumberFormat="0" applyBorder="0" applyAlignment="0" applyProtection="0"/>
    <xf numFmtId="0" fontId="119" fillId="42" borderId="0" applyNumberFormat="0" applyBorder="0" applyAlignment="0" applyProtection="0"/>
    <xf numFmtId="0" fontId="40" fillId="58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0" fillId="42" borderId="0" applyNumberFormat="0" applyBorder="0" applyAlignment="0" applyProtection="0"/>
    <xf numFmtId="0" fontId="119" fillId="42" borderId="0" applyNumberFormat="0" applyBorder="0" applyAlignment="0" applyProtection="0"/>
    <xf numFmtId="0" fontId="119" fillId="42" borderId="0" applyNumberFormat="0" applyBorder="0" applyAlignment="0" applyProtection="0"/>
    <xf numFmtId="0" fontId="10" fillId="28" borderId="0" applyNumberFormat="0" applyBorder="0" applyAlignment="0" applyProtection="0"/>
    <xf numFmtId="0" fontId="120" fillId="42" borderId="0" applyNumberFormat="0" applyBorder="0" applyAlignment="0" applyProtection="0"/>
    <xf numFmtId="0" fontId="40" fillId="42" borderId="0" applyNumberFormat="0" applyBorder="0" applyAlignment="0" applyProtection="0"/>
    <xf numFmtId="0" fontId="120" fillId="42" borderId="0" applyNumberFormat="0" applyBorder="0" applyAlignment="0" applyProtection="0"/>
    <xf numFmtId="0" fontId="10" fillId="28" borderId="0" applyNumberFormat="0" applyBorder="0" applyAlignment="0" applyProtection="0"/>
    <xf numFmtId="0" fontId="119" fillId="43" borderId="0" applyNumberFormat="0" applyBorder="0" applyAlignment="0" applyProtection="0"/>
    <xf numFmtId="0" fontId="43" fillId="64" borderId="0" applyNumberFormat="0" applyBorder="0" applyAlignment="0" applyProtection="0"/>
    <xf numFmtId="0" fontId="40" fillId="43" borderId="0" applyNumberFormat="0" applyBorder="0" applyAlignment="0" applyProtection="0"/>
    <xf numFmtId="0" fontId="120" fillId="43" borderId="0" applyNumberFormat="0" applyBorder="0" applyAlignment="0" applyProtection="0"/>
    <xf numFmtId="0" fontId="119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0" fillId="32" borderId="0" applyNumberFormat="0" applyBorder="0" applyAlignment="0" applyProtection="0"/>
    <xf numFmtId="0" fontId="120" fillId="43" borderId="0" applyNumberFormat="0" applyBorder="0" applyAlignment="0" applyProtection="0"/>
    <xf numFmtId="0" fontId="40" fillId="43" borderId="0" applyNumberFormat="0" applyBorder="0" applyAlignment="0" applyProtection="0"/>
    <xf numFmtId="0" fontId="120" fillId="43" borderId="0" applyNumberFormat="0" applyBorder="0" applyAlignment="0" applyProtection="0"/>
    <xf numFmtId="0" fontId="10" fillId="32" borderId="0" applyNumberFormat="0" applyBorder="0" applyAlignment="0" applyProtection="0"/>
    <xf numFmtId="0" fontId="119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120" fillId="44" borderId="0" applyNumberFormat="0" applyBorder="0" applyAlignment="0" applyProtection="0"/>
    <xf numFmtId="0" fontId="119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0" fillId="36" borderId="0" applyNumberFormat="0" applyBorder="0" applyAlignment="0" applyProtection="0"/>
    <xf numFmtId="0" fontId="120" fillId="44" borderId="0" applyNumberFormat="0" applyBorder="0" applyAlignment="0" applyProtection="0"/>
    <xf numFmtId="0" fontId="40" fillId="44" borderId="0" applyNumberFormat="0" applyBorder="0" applyAlignment="0" applyProtection="0"/>
    <xf numFmtId="0" fontId="120" fillId="44" borderId="0" applyNumberFormat="0" applyBorder="0" applyAlignment="0" applyProtection="0"/>
    <xf numFmtId="0" fontId="10" fillId="36" borderId="0" applyNumberFormat="0" applyBorder="0" applyAlignment="0" applyProtection="0"/>
    <xf numFmtId="0" fontId="119" fillId="45" borderId="0" applyNumberFormat="0" applyBorder="0" applyAlignment="0" applyProtection="0"/>
    <xf numFmtId="0" fontId="43" fillId="65" borderId="0" applyNumberFormat="0" applyBorder="0" applyAlignment="0" applyProtection="0"/>
    <xf numFmtId="0" fontId="40" fillId="57" borderId="0" applyNumberFormat="0" applyBorder="0" applyAlignment="0" applyProtection="0"/>
    <xf numFmtId="0" fontId="120" fillId="45" borderId="0" applyNumberFormat="0" applyBorder="0" applyAlignment="0" applyProtection="0"/>
    <xf numFmtId="0" fontId="119" fillId="45" borderId="0" applyNumberFormat="0" applyBorder="0" applyAlignment="0" applyProtection="0"/>
    <xf numFmtId="0" fontId="40" fillId="57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0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0" fillId="17" borderId="0" applyNumberFormat="0" applyBorder="0" applyAlignment="0" applyProtection="0"/>
    <xf numFmtId="0" fontId="120" fillId="45" borderId="0" applyNumberFormat="0" applyBorder="0" applyAlignment="0" applyProtection="0"/>
    <xf numFmtId="0" fontId="40" fillId="45" borderId="0" applyNumberFormat="0" applyBorder="0" applyAlignment="0" applyProtection="0"/>
    <xf numFmtId="0" fontId="120" fillId="45" borderId="0" applyNumberFormat="0" applyBorder="0" applyAlignment="0" applyProtection="0"/>
    <xf numFmtId="0" fontId="10" fillId="17" borderId="0" applyNumberFormat="0" applyBorder="0" applyAlignment="0" applyProtection="0"/>
    <xf numFmtId="0" fontId="119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120" fillId="46" borderId="0" applyNumberFormat="0" applyBorder="0" applyAlignment="0" applyProtection="0"/>
    <xf numFmtId="0" fontId="119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0" fontId="10" fillId="21" borderId="0" applyNumberFormat="0" applyBorder="0" applyAlignment="0" applyProtection="0"/>
    <xf numFmtId="0" fontId="120" fillId="46" borderId="0" applyNumberFormat="0" applyBorder="0" applyAlignment="0" applyProtection="0"/>
    <xf numFmtId="0" fontId="40" fillId="46" borderId="0" applyNumberFormat="0" applyBorder="0" applyAlignment="0" applyProtection="0"/>
    <xf numFmtId="0" fontId="120" fillId="46" borderId="0" applyNumberFormat="0" applyBorder="0" applyAlignment="0" applyProtection="0"/>
    <xf numFmtId="0" fontId="10" fillId="21" borderId="0" applyNumberFormat="0" applyBorder="0" applyAlignment="0" applyProtection="0"/>
    <xf numFmtId="0" fontId="119" fillId="47" borderId="0" applyNumberFormat="0" applyBorder="0" applyAlignment="0" applyProtection="0"/>
    <xf numFmtId="0" fontId="43" fillId="59" borderId="0" applyNumberFormat="0" applyBorder="0" applyAlignment="0" applyProtection="0"/>
    <xf numFmtId="0" fontId="40" fillId="59" borderId="0" applyNumberFormat="0" applyBorder="0" applyAlignment="0" applyProtection="0"/>
    <xf numFmtId="0" fontId="120" fillId="47" borderId="0" applyNumberFormat="0" applyBorder="0" applyAlignment="0" applyProtection="0"/>
    <xf numFmtId="0" fontId="119" fillId="47" borderId="0" applyNumberFormat="0" applyBorder="0" applyAlignment="0" applyProtection="0"/>
    <xf numFmtId="0" fontId="40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0" fillId="47" borderId="0" applyNumberFormat="0" applyBorder="0" applyAlignment="0" applyProtection="0"/>
    <xf numFmtId="0" fontId="119" fillId="47" borderId="0" applyNumberFormat="0" applyBorder="0" applyAlignment="0" applyProtection="0"/>
    <xf numFmtId="0" fontId="119" fillId="47" borderId="0" applyNumberFormat="0" applyBorder="0" applyAlignment="0" applyProtection="0"/>
    <xf numFmtId="0" fontId="10" fillId="25" borderId="0" applyNumberFormat="0" applyBorder="0" applyAlignment="0" applyProtection="0"/>
    <xf numFmtId="0" fontId="120" fillId="47" borderId="0" applyNumberFormat="0" applyBorder="0" applyAlignment="0" applyProtection="0"/>
    <xf numFmtId="0" fontId="40" fillId="47" borderId="0" applyNumberFormat="0" applyBorder="0" applyAlignment="0" applyProtection="0"/>
    <xf numFmtId="0" fontId="120" fillId="47" borderId="0" applyNumberFormat="0" applyBorder="0" applyAlignment="0" applyProtection="0"/>
    <xf numFmtId="0" fontId="10" fillId="25" borderId="0" applyNumberFormat="0" applyBorder="0" applyAlignment="0" applyProtection="0"/>
    <xf numFmtId="0" fontId="119" fillId="42" borderId="0" applyNumberFormat="0" applyBorder="0" applyAlignment="0" applyProtection="0"/>
    <xf numFmtId="0" fontId="43" fillId="57" borderId="0" applyNumberFormat="0" applyBorder="0" applyAlignment="0" applyProtection="0"/>
    <xf numFmtId="0" fontId="40" fillId="57" borderId="0" applyNumberFormat="0" applyBorder="0" applyAlignment="0" applyProtection="0"/>
    <xf numFmtId="0" fontId="120" fillId="42" borderId="0" applyNumberFormat="0" applyBorder="0" applyAlignment="0" applyProtection="0"/>
    <xf numFmtId="0" fontId="119" fillId="42" borderId="0" applyNumberFormat="0" applyBorder="0" applyAlignment="0" applyProtection="0"/>
    <xf numFmtId="0" fontId="40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0" fillId="42" borderId="0" applyNumberFormat="0" applyBorder="0" applyAlignment="0" applyProtection="0"/>
    <xf numFmtId="0" fontId="119" fillId="42" borderId="0" applyNumberFormat="0" applyBorder="0" applyAlignment="0" applyProtection="0"/>
    <xf numFmtId="0" fontId="119" fillId="42" borderId="0" applyNumberFormat="0" applyBorder="0" applyAlignment="0" applyProtection="0"/>
    <xf numFmtId="0" fontId="10" fillId="29" borderId="0" applyNumberFormat="0" applyBorder="0" applyAlignment="0" applyProtection="0"/>
    <xf numFmtId="0" fontId="120" fillId="42" borderId="0" applyNumberFormat="0" applyBorder="0" applyAlignment="0" applyProtection="0"/>
    <xf numFmtId="0" fontId="40" fillId="42" borderId="0" applyNumberFormat="0" applyBorder="0" applyAlignment="0" applyProtection="0"/>
    <xf numFmtId="0" fontId="120" fillId="42" borderId="0" applyNumberFormat="0" applyBorder="0" applyAlignment="0" applyProtection="0"/>
    <xf numFmtId="0" fontId="10" fillId="29" borderId="0" applyNumberFormat="0" applyBorder="0" applyAlignment="0" applyProtection="0"/>
    <xf numFmtId="0" fontId="119" fillId="45" borderId="0" applyNumberFormat="0" applyBorder="0" applyAlignment="0" applyProtection="0"/>
    <xf numFmtId="0" fontId="43" fillId="64" borderId="0" applyNumberFormat="0" applyBorder="0" applyAlignment="0" applyProtection="0"/>
    <xf numFmtId="0" fontId="40" fillId="45" borderId="0" applyNumberFormat="0" applyBorder="0" applyAlignment="0" applyProtection="0"/>
    <xf numFmtId="0" fontId="120" fillId="45" borderId="0" applyNumberFormat="0" applyBorder="0" applyAlignment="0" applyProtection="0"/>
    <xf numFmtId="0" fontId="119" fillId="45" borderId="0" applyNumberFormat="0" applyBorder="0" applyAlignment="0" applyProtection="0"/>
    <xf numFmtId="0" fontId="40" fillId="45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0" fillId="33" borderId="0" applyNumberFormat="0" applyBorder="0" applyAlignment="0" applyProtection="0"/>
    <xf numFmtId="0" fontId="120" fillId="45" borderId="0" applyNumberFormat="0" applyBorder="0" applyAlignment="0" applyProtection="0"/>
    <xf numFmtId="0" fontId="40" fillId="45" borderId="0" applyNumberFormat="0" applyBorder="0" applyAlignment="0" applyProtection="0"/>
    <xf numFmtId="0" fontId="120" fillId="45" borderId="0" applyNumberFormat="0" applyBorder="0" applyAlignment="0" applyProtection="0"/>
    <xf numFmtId="0" fontId="10" fillId="33" borderId="0" applyNumberFormat="0" applyBorder="0" applyAlignment="0" applyProtection="0"/>
    <xf numFmtId="0" fontId="119" fillId="48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120" fillId="48" borderId="0" applyNumberFormat="0" applyBorder="0" applyAlignment="0" applyProtection="0"/>
    <xf numFmtId="0" fontId="119" fillId="48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8" borderId="0" applyNumberFormat="0" applyBorder="0" applyAlignment="0" applyProtection="0"/>
    <xf numFmtId="0" fontId="119" fillId="48" borderId="0" applyNumberFormat="0" applyBorder="0" applyAlignment="0" applyProtection="0"/>
    <xf numFmtId="0" fontId="119" fillId="48" borderId="0" applyNumberFormat="0" applyBorder="0" applyAlignment="0" applyProtection="0"/>
    <xf numFmtId="0" fontId="10" fillId="37" borderId="0" applyNumberFormat="0" applyBorder="0" applyAlignment="0" applyProtection="0"/>
    <xf numFmtId="0" fontId="120" fillId="48" borderId="0" applyNumberFormat="0" applyBorder="0" applyAlignment="0" applyProtection="0"/>
    <xf numFmtId="0" fontId="40" fillId="48" borderId="0" applyNumberFormat="0" applyBorder="0" applyAlignment="0" applyProtection="0"/>
    <xf numFmtId="0" fontId="120" fillId="48" borderId="0" applyNumberFormat="0" applyBorder="0" applyAlignment="0" applyProtection="0"/>
    <xf numFmtId="0" fontId="10" fillId="37" borderId="0" applyNumberFormat="0" applyBorder="0" applyAlignment="0" applyProtection="0"/>
    <xf numFmtId="0" fontId="121" fillId="49" borderId="0" applyNumberFormat="0" applyBorder="0" applyAlignment="0" applyProtection="0"/>
    <xf numFmtId="0" fontId="122" fillId="51" borderId="0" applyNumberFormat="0" applyBorder="0" applyAlignment="0" applyProtection="0"/>
    <xf numFmtId="0" fontId="43" fillId="51" borderId="0" applyNumberFormat="0" applyBorder="0" applyAlignment="0" applyProtection="0"/>
    <xf numFmtId="0" fontId="123" fillId="49" borderId="0" applyNumberFormat="0" applyBorder="0" applyAlignment="0" applyProtection="0"/>
    <xf numFmtId="0" fontId="121" fillId="49" borderId="0" applyNumberFormat="0" applyBorder="0" applyAlignment="0" applyProtection="0"/>
    <xf numFmtId="0" fontId="43" fillId="51" borderId="0" applyNumberFormat="0" applyBorder="0" applyAlignment="0" applyProtection="0"/>
    <xf numFmtId="0" fontId="122" fillId="51" borderId="0" applyNumberFormat="0" applyBorder="0" applyAlignment="0" applyProtection="0"/>
    <xf numFmtId="0" fontId="122" fillId="51" borderId="0" applyNumberFormat="0" applyBorder="0" applyAlignment="0" applyProtection="0"/>
    <xf numFmtId="0" fontId="43" fillId="49" borderId="0" applyNumberFormat="0" applyBorder="0" applyAlignment="0" applyProtection="0"/>
    <xf numFmtId="0" fontId="121" fillId="49" borderId="0" applyNumberFormat="0" applyBorder="0" applyAlignment="0" applyProtection="0"/>
    <xf numFmtId="0" fontId="121" fillId="49" borderId="0" applyNumberFormat="0" applyBorder="0" applyAlignment="0" applyProtection="0"/>
    <xf numFmtId="0" fontId="46" fillId="18" borderId="0" applyNumberFormat="0" applyBorder="0" applyAlignment="0" applyProtection="0"/>
    <xf numFmtId="0" fontId="123" fillId="49" borderId="0" applyNumberFormat="0" applyBorder="0" applyAlignment="0" applyProtection="0"/>
    <xf numFmtId="0" fontId="43" fillId="49" borderId="0" applyNumberFormat="0" applyBorder="0" applyAlignment="0" applyProtection="0"/>
    <xf numFmtId="0" fontId="123" fillId="49" borderId="0" applyNumberFormat="0" applyBorder="0" applyAlignment="0" applyProtection="0"/>
    <xf numFmtId="0" fontId="46" fillId="18" borderId="0" applyNumberFormat="0" applyBorder="0" applyAlignment="0" applyProtection="0"/>
    <xf numFmtId="0" fontId="121" fillId="46" borderId="0" applyNumberFormat="0" applyBorder="0" applyAlignment="0" applyProtection="0"/>
    <xf numFmtId="0" fontId="122" fillId="46" borderId="0" applyNumberFormat="0" applyBorder="0" applyAlignment="0" applyProtection="0"/>
    <xf numFmtId="0" fontId="43" fillId="46" borderId="0" applyNumberFormat="0" applyBorder="0" applyAlignment="0" applyProtection="0"/>
    <xf numFmtId="0" fontId="123" fillId="46" borderId="0" applyNumberFormat="0" applyBorder="0" applyAlignment="0" applyProtection="0"/>
    <xf numFmtId="0" fontId="121" fillId="46" borderId="0" applyNumberFormat="0" applyBorder="0" applyAlignment="0" applyProtection="0"/>
    <xf numFmtId="0" fontId="43" fillId="46" borderId="0" applyNumberFormat="0" applyBorder="0" applyAlignment="0" applyProtection="0"/>
    <xf numFmtId="0" fontId="122" fillId="46" borderId="0" applyNumberFormat="0" applyBorder="0" applyAlignment="0" applyProtection="0"/>
    <xf numFmtId="0" fontId="122" fillId="46" borderId="0" applyNumberFormat="0" applyBorder="0" applyAlignment="0" applyProtection="0"/>
    <xf numFmtId="0" fontId="121" fillId="46" borderId="0" applyNumberFormat="0" applyBorder="0" applyAlignment="0" applyProtection="0"/>
    <xf numFmtId="0" fontId="121" fillId="46" borderId="0" applyNumberFormat="0" applyBorder="0" applyAlignment="0" applyProtection="0"/>
    <xf numFmtId="0" fontId="46" fillId="22" borderId="0" applyNumberFormat="0" applyBorder="0" applyAlignment="0" applyProtection="0"/>
    <xf numFmtId="0" fontId="123" fillId="46" borderId="0" applyNumberFormat="0" applyBorder="0" applyAlignment="0" applyProtection="0"/>
    <xf numFmtId="0" fontId="43" fillId="46" borderId="0" applyNumberFormat="0" applyBorder="0" applyAlignment="0" applyProtection="0"/>
    <xf numFmtId="0" fontId="123" fillId="46" borderId="0" applyNumberFormat="0" applyBorder="0" applyAlignment="0" applyProtection="0"/>
    <xf numFmtId="0" fontId="46" fillId="22" borderId="0" applyNumberFormat="0" applyBorder="0" applyAlignment="0" applyProtection="0"/>
    <xf numFmtId="0" fontId="121" fillId="47" borderId="0" applyNumberFormat="0" applyBorder="0" applyAlignment="0" applyProtection="0"/>
    <xf numFmtId="0" fontId="122" fillId="59" borderId="0" applyNumberFormat="0" applyBorder="0" applyAlignment="0" applyProtection="0"/>
    <xf numFmtId="0" fontId="43" fillId="59" borderId="0" applyNumberFormat="0" applyBorder="0" applyAlignment="0" applyProtection="0"/>
    <xf numFmtId="0" fontId="123" fillId="47" borderId="0" applyNumberFormat="0" applyBorder="0" applyAlignment="0" applyProtection="0"/>
    <xf numFmtId="0" fontId="121" fillId="47" borderId="0" applyNumberFormat="0" applyBorder="0" applyAlignment="0" applyProtection="0"/>
    <xf numFmtId="0" fontId="43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43" fillId="47" borderId="0" applyNumberFormat="0" applyBorder="0" applyAlignment="0" applyProtection="0"/>
    <xf numFmtId="0" fontId="121" fillId="47" borderId="0" applyNumberFormat="0" applyBorder="0" applyAlignment="0" applyProtection="0"/>
    <xf numFmtId="0" fontId="121" fillId="47" borderId="0" applyNumberFormat="0" applyBorder="0" applyAlignment="0" applyProtection="0"/>
    <xf numFmtId="0" fontId="46" fillId="26" borderId="0" applyNumberFormat="0" applyBorder="0" applyAlignment="0" applyProtection="0"/>
    <xf numFmtId="0" fontId="123" fillId="47" borderId="0" applyNumberFormat="0" applyBorder="0" applyAlignment="0" applyProtection="0"/>
    <xf numFmtId="0" fontId="43" fillId="47" borderId="0" applyNumberFormat="0" applyBorder="0" applyAlignment="0" applyProtection="0"/>
    <xf numFmtId="0" fontId="123" fillId="47" borderId="0" applyNumberFormat="0" applyBorder="0" applyAlignment="0" applyProtection="0"/>
    <xf numFmtId="0" fontId="46" fillId="26" borderId="0" applyNumberFormat="0" applyBorder="0" applyAlignment="0" applyProtection="0"/>
    <xf numFmtId="0" fontId="121" fillId="50" borderId="0" applyNumberFormat="0" applyBorder="0" applyAlignment="0" applyProtection="0"/>
    <xf numFmtId="0" fontId="122" fillId="57" borderId="0" applyNumberFormat="0" applyBorder="0" applyAlignment="0" applyProtection="0"/>
    <xf numFmtId="0" fontId="43" fillId="57" borderId="0" applyNumberFormat="0" applyBorder="0" applyAlignment="0" applyProtection="0"/>
    <xf numFmtId="0" fontId="123" fillId="50" borderId="0" applyNumberFormat="0" applyBorder="0" applyAlignment="0" applyProtection="0"/>
    <xf numFmtId="0" fontId="121" fillId="50" borderId="0" applyNumberFormat="0" applyBorder="0" applyAlignment="0" applyProtection="0"/>
    <xf numFmtId="0" fontId="43" fillId="57" borderId="0" applyNumberFormat="0" applyBorder="0" applyAlignment="0" applyProtection="0"/>
    <xf numFmtId="0" fontId="122" fillId="57" borderId="0" applyNumberFormat="0" applyBorder="0" applyAlignment="0" applyProtection="0"/>
    <xf numFmtId="0" fontId="122" fillId="57" borderId="0" applyNumberFormat="0" applyBorder="0" applyAlignment="0" applyProtection="0"/>
    <xf numFmtId="0" fontId="43" fillId="50" borderId="0" applyNumberFormat="0" applyBorder="0" applyAlignment="0" applyProtection="0"/>
    <xf numFmtId="0" fontId="121" fillId="50" borderId="0" applyNumberFormat="0" applyBorder="0" applyAlignment="0" applyProtection="0"/>
    <xf numFmtId="0" fontId="121" fillId="50" borderId="0" applyNumberFormat="0" applyBorder="0" applyAlignment="0" applyProtection="0"/>
    <xf numFmtId="0" fontId="46" fillId="30" borderId="0" applyNumberFormat="0" applyBorder="0" applyAlignment="0" applyProtection="0"/>
    <xf numFmtId="0" fontId="123" fillId="50" borderId="0" applyNumberFormat="0" applyBorder="0" applyAlignment="0" applyProtection="0"/>
    <xf numFmtId="0" fontId="43" fillId="50" borderId="0" applyNumberFormat="0" applyBorder="0" applyAlignment="0" applyProtection="0"/>
    <xf numFmtId="0" fontId="123" fillId="50" borderId="0" applyNumberFormat="0" applyBorder="0" applyAlignment="0" applyProtection="0"/>
    <xf numFmtId="0" fontId="46" fillId="30" borderId="0" applyNumberFormat="0" applyBorder="0" applyAlignment="0" applyProtection="0"/>
    <xf numFmtId="0" fontId="121" fillId="51" borderId="0" applyNumberFormat="0" applyBorder="0" applyAlignment="0" applyProtection="0"/>
    <xf numFmtId="0" fontId="122" fillId="51" borderId="0" applyNumberFormat="0" applyBorder="0" applyAlignment="0" applyProtection="0"/>
    <xf numFmtId="0" fontId="43" fillId="51" borderId="0" applyNumberFormat="0" applyBorder="0" applyAlignment="0" applyProtection="0"/>
    <xf numFmtId="0" fontId="123" fillId="51" borderId="0" applyNumberFormat="0" applyBorder="0" applyAlignment="0" applyProtection="0"/>
    <xf numFmtId="0" fontId="121" fillId="51" borderId="0" applyNumberFormat="0" applyBorder="0" applyAlignment="0" applyProtection="0"/>
    <xf numFmtId="0" fontId="43" fillId="51" borderId="0" applyNumberFormat="0" applyBorder="0" applyAlignment="0" applyProtection="0"/>
    <xf numFmtId="0" fontId="122" fillId="51" borderId="0" applyNumberFormat="0" applyBorder="0" applyAlignment="0" applyProtection="0"/>
    <xf numFmtId="0" fontId="122" fillId="51" borderId="0" applyNumberFormat="0" applyBorder="0" applyAlignment="0" applyProtection="0"/>
    <xf numFmtId="0" fontId="121" fillId="51" borderId="0" applyNumberFormat="0" applyBorder="0" applyAlignment="0" applyProtection="0"/>
    <xf numFmtId="0" fontId="121" fillId="51" borderId="0" applyNumberFormat="0" applyBorder="0" applyAlignment="0" applyProtection="0"/>
    <xf numFmtId="0" fontId="46" fillId="34" borderId="0" applyNumberFormat="0" applyBorder="0" applyAlignment="0" applyProtection="0"/>
    <xf numFmtId="0" fontId="123" fillId="51" borderId="0" applyNumberFormat="0" applyBorder="0" applyAlignment="0" applyProtection="0"/>
    <xf numFmtId="0" fontId="43" fillId="51" borderId="0" applyNumberFormat="0" applyBorder="0" applyAlignment="0" applyProtection="0"/>
    <xf numFmtId="0" fontId="123" fillId="51" borderId="0" applyNumberFormat="0" applyBorder="0" applyAlignment="0" applyProtection="0"/>
    <xf numFmtId="0" fontId="46" fillId="34" borderId="0" applyNumberFormat="0" applyBorder="0" applyAlignment="0" applyProtection="0"/>
    <xf numFmtId="0" fontId="121" fillId="52" borderId="0" applyNumberFormat="0" applyBorder="0" applyAlignment="0" applyProtection="0"/>
    <xf numFmtId="0" fontId="122" fillId="66" borderId="0" applyNumberFormat="0" applyBorder="0" applyAlignment="0" applyProtection="0"/>
    <xf numFmtId="0" fontId="43" fillId="44" borderId="0" applyNumberFormat="0" applyBorder="0" applyAlignment="0" applyProtection="0"/>
    <xf numFmtId="0" fontId="123" fillId="52" borderId="0" applyNumberFormat="0" applyBorder="0" applyAlignment="0" applyProtection="0"/>
    <xf numFmtId="0" fontId="121" fillId="52" borderId="0" applyNumberFormat="0" applyBorder="0" applyAlignment="0" applyProtection="0"/>
    <xf numFmtId="0" fontId="43" fillId="44" borderId="0" applyNumberFormat="0" applyBorder="0" applyAlignment="0" applyProtection="0"/>
    <xf numFmtId="0" fontId="122" fillId="66" borderId="0" applyNumberFormat="0" applyBorder="0" applyAlignment="0" applyProtection="0"/>
    <xf numFmtId="0" fontId="122" fillId="66" borderId="0" applyNumberFormat="0" applyBorder="0" applyAlignment="0" applyProtection="0"/>
    <xf numFmtId="0" fontId="43" fillId="52" borderId="0" applyNumberFormat="0" applyBorder="0" applyAlignment="0" applyProtection="0"/>
    <xf numFmtId="0" fontId="121" fillId="52" borderId="0" applyNumberFormat="0" applyBorder="0" applyAlignment="0" applyProtection="0"/>
    <xf numFmtId="0" fontId="121" fillId="52" borderId="0" applyNumberFormat="0" applyBorder="0" applyAlignment="0" applyProtection="0"/>
    <xf numFmtId="0" fontId="46" fillId="38" borderId="0" applyNumberFormat="0" applyBorder="0" applyAlignment="0" applyProtection="0"/>
    <xf numFmtId="0" fontId="123" fillId="52" borderId="0" applyNumberFormat="0" applyBorder="0" applyAlignment="0" applyProtection="0"/>
    <xf numFmtId="0" fontId="43" fillId="52" borderId="0" applyNumberFormat="0" applyBorder="0" applyAlignment="0" applyProtection="0"/>
    <xf numFmtId="0" fontId="123" fillId="52" borderId="0" applyNumberFormat="0" applyBorder="0" applyAlignment="0" applyProtection="0"/>
    <xf numFmtId="0" fontId="46" fillId="38" borderId="0" applyNumberFormat="0" applyBorder="0" applyAlignment="0" applyProtection="0"/>
    <xf numFmtId="0" fontId="121" fillId="53" borderId="0" applyNumberFormat="0" applyBorder="0" applyAlignment="0" applyProtection="0"/>
    <xf numFmtId="0" fontId="122" fillId="51" borderId="0" applyNumberFormat="0" applyBorder="0" applyAlignment="0" applyProtection="0"/>
    <xf numFmtId="0" fontId="43" fillId="51" borderId="0" applyNumberFormat="0" applyBorder="0" applyAlignment="0" applyProtection="0"/>
    <xf numFmtId="0" fontId="123" fillId="53" borderId="0" applyNumberFormat="0" applyBorder="0" applyAlignment="0" applyProtection="0"/>
    <xf numFmtId="0" fontId="121" fillId="53" borderId="0" applyNumberFormat="0" applyBorder="0" applyAlignment="0" applyProtection="0"/>
    <xf numFmtId="0" fontId="43" fillId="51" borderId="0" applyNumberFormat="0" applyBorder="0" applyAlignment="0" applyProtection="0"/>
    <xf numFmtId="0" fontId="122" fillId="51" borderId="0" applyNumberFormat="0" applyBorder="0" applyAlignment="0" applyProtection="0"/>
    <xf numFmtId="0" fontId="43" fillId="53" borderId="0" applyNumberFormat="0" applyBorder="0" applyAlignment="0" applyProtection="0"/>
    <xf numFmtId="0" fontId="121" fillId="53" borderId="0" applyNumberFormat="0" applyBorder="0" applyAlignment="0" applyProtection="0"/>
    <xf numFmtId="0" fontId="121" fillId="53" borderId="0" applyNumberFormat="0" applyBorder="0" applyAlignment="0" applyProtection="0"/>
    <xf numFmtId="0" fontId="46" fillId="15" borderId="0" applyNumberFormat="0" applyBorder="0" applyAlignment="0" applyProtection="0"/>
    <xf numFmtId="0" fontId="123" fillId="53" borderId="0" applyNumberFormat="0" applyBorder="0" applyAlignment="0" applyProtection="0"/>
    <xf numFmtId="0" fontId="43" fillId="53" borderId="0" applyNumberFormat="0" applyBorder="0" applyAlignment="0" applyProtection="0"/>
    <xf numFmtId="0" fontId="123" fillId="53" borderId="0" applyNumberFormat="0" applyBorder="0" applyAlignment="0" applyProtection="0"/>
    <xf numFmtId="0" fontId="46" fillId="15" borderId="0" applyNumberFormat="0" applyBorder="0" applyAlignment="0" applyProtection="0"/>
    <xf numFmtId="0" fontId="121" fillId="54" borderId="0" applyNumberFormat="0" applyBorder="0" applyAlignment="0" applyProtection="0"/>
    <xf numFmtId="0" fontId="122" fillId="54" borderId="0" applyNumberFormat="0" applyBorder="0" applyAlignment="0" applyProtection="0"/>
    <xf numFmtId="0" fontId="43" fillId="54" borderId="0" applyNumberFormat="0" applyBorder="0" applyAlignment="0" applyProtection="0"/>
    <xf numFmtId="0" fontId="123" fillId="54" borderId="0" applyNumberFormat="0" applyBorder="0" applyAlignment="0" applyProtection="0"/>
    <xf numFmtId="0" fontId="121" fillId="54" borderId="0" applyNumberFormat="0" applyBorder="0" applyAlignment="0" applyProtection="0"/>
    <xf numFmtId="0" fontId="43" fillId="54" borderId="0" applyNumberFormat="0" applyBorder="0" applyAlignment="0" applyProtection="0"/>
    <xf numFmtId="0" fontId="122" fillId="54" borderId="0" applyNumberFormat="0" applyBorder="0" applyAlignment="0" applyProtection="0"/>
    <xf numFmtId="0" fontId="122" fillId="54" borderId="0" applyNumberFormat="0" applyBorder="0" applyAlignment="0" applyProtection="0"/>
    <xf numFmtId="0" fontId="121" fillId="54" borderId="0" applyNumberFormat="0" applyBorder="0" applyAlignment="0" applyProtection="0"/>
    <xf numFmtId="0" fontId="121" fillId="54" borderId="0" applyNumberFormat="0" applyBorder="0" applyAlignment="0" applyProtection="0"/>
    <xf numFmtId="0" fontId="46" fillId="19" borderId="0" applyNumberFormat="0" applyBorder="0" applyAlignment="0" applyProtection="0"/>
    <xf numFmtId="0" fontId="123" fillId="54" borderId="0" applyNumberFormat="0" applyBorder="0" applyAlignment="0" applyProtection="0"/>
    <xf numFmtId="0" fontId="43" fillId="54" borderId="0" applyNumberFormat="0" applyBorder="0" applyAlignment="0" applyProtection="0"/>
    <xf numFmtId="0" fontId="123" fillId="54" borderId="0" applyNumberFormat="0" applyBorder="0" applyAlignment="0" applyProtection="0"/>
    <xf numFmtId="0" fontId="46" fillId="19" borderId="0" applyNumberFormat="0" applyBorder="0" applyAlignment="0" applyProtection="0"/>
    <xf numFmtId="0" fontId="121" fillId="55" borderId="0" applyNumberFormat="0" applyBorder="0" applyAlignment="0" applyProtection="0"/>
    <xf numFmtId="0" fontId="122" fillId="55" borderId="0" applyNumberFormat="0" applyBorder="0" applyAlignment="0" applyProtection="0"/>
    <xf numFmtId="0" fontId="43" fillId="55" borderId="0" applyNumberFormat="0" applyBorder="0" applyAlignment="0" applyProtection="0"/>
    <xf numFmtId="0" fontId="123" fillId="55" borderId="0" applyNumberFormat="0" applyBorder="0" applyAlignment="0" applyProtection="0"/>
    <xf numFmtId="0" fontId="121" fillId="55" borderId="0" applyNumberFormat="0" applyBorder="0" applyAlignment="0" applyProtection="0"/>
    <xf numFmtId="0" fontId="43" fillId="55" borderId="0" applyNumberFormat="0" applyBorder="0" applyAlignment="0" applyProtection="0"/>
    <xf numFmtId="0" fontId="122" fillId="55" borderId="0" applyNumberFormat="0" applyBorder="0" applyAlignment="0" applyProtection="0"/>
    <xf numFmtId="0" fontId="121" fillId="55" borderId="0" applyNumberFormat="0" applyBorder="0" applyAlignment="0" applyProtection="0"/>
    <xf numFmtId="0" fontId="121" fillId="55" borderId="0" applyNumberFormat="0" applyBorder="0" applyAlignment="0" applyProtection="0"/>
    <xf numFmtId="0" fontId="46" fillId="23" borderId="0" applyNumberFormat="0" applyBorder="0" applyAlignment="0" applyProtection="0"/>
    <xf numFmtId="0" fontId="123" fillId="55" borderId="0" applyNumberFormat="0" applyBorder="0" applyAlignment="0" applyProtection="0"/>
    <xf numFmtId="0" fontId="43" fillId="55" borderId="0" applyNumberFormat="0" applyBorder="0" applyAlignment="0" applyProtection="0"/>
    <xf numFmtId="0" fontId="123" fillId="55" borderId="0" applyNumberFormat="0" applyBorder="0" applyAlignment="0" applyProtection="0"/>
    <xf numFmtId="0" fontId="46" fillId="23" borderId="0" applyNumberFormat="0" applyBorder="0" applyAlignment="0" applyProtection="0"/>
    <xf numFmtId="0" fontId="121" fillId="50" borderId="0" applyNumberFormat="0" applyBorder="0" applyAlignment="0" applyProtection="0"/>
    <xf numFmtId="0" fontId="122" fillId="67" borderId="0" applyNumberFormat="0" applyBorder="0" applyAlignment="0" applyProtection="0"/>
    <xf numFmtId="0" fontId="43" fillId="67" borderId="0" applyNumberFormat="0" applyBorder="0" applyAlignment="0" applyProtection="0"/>
    <xf numFmtId="0" fontId="123" fillId="50" borderId="0" applyNumberFormat="0" applyBorder="0" applyAlignment="0" applyProtection="0"/>
    <xf numFmtId="0" fontId="121" fillId="50" borderId="0" applyNumberFormat="0" applyBorder="0" applyAlignment="0" applyProtection="0"/>
    <xf numFmtId="0" fontId="43" fillId="67" borderId="0" applyNumberFormat="0" applyBorder="0" applyAlignment="0" applyProtection="0"/>
    <xf numFmtId="0" fontId="122" fillId="67" borderId="0" applyNumberFormat="0" applyBorder="0" applyAlignment="0" applyProtection="0"/>
    <xf numFmtId="0" fontId="43" fillId="50" borderId="0" applyNumberFormat="0" applyBorder="0" applyAlignment="0" applyProtection="0"/>
    <xf numFmtId="0" fontId="121" fillId="50" borderId="0" applyNumberFormat="0" applyBorder="0" applyAlignment="0" applyProtection="0"/>
    <xf numFmtId="0" fontId="121" fillId="50" borderId="0" applyNumberFormat="0" applyBorder="0" applyAlignment="0" applyProtection="0"/>
    <xf numFmtId="0" fontId="46" fillId="27" borderId="0" applyNumberFormat="0" applyBorder="0" applyAlignment="0" applyProtection="0"/>
    <xf numFmtId="0" fontId="123" fillId="50" borderId="0" applyNumberFormat="0" applyBorder="0" applyAlignment="0" applyProtection="0"/>
    <xf numFmtId="0" fontId="43" fillId="50" borderId="0" applyNumberFormat="0" applyBorder="0" applyAlignment="0" applyProtection="0"/>
    <xf numFmtId="0" fontId="123" fillId="50" borderId="0" applyNumberFormat="0" applyBorder="0" applyAlignment="0" applyProtection="0"/>
    <xf numFmtId="0" fontId="46" fillId="27" borderId="0" applyNumberFormat="0" applyBorder="0" applyAlignment="0" applyProtection="0"/>
    <xf numFmtId="0" fontId="121" fillId="51" borderId="0" applyNumberFormat="0" applyBorder="0" applyAlignment="0" applyProtection="0"/>
    <xf numFmtId="0" fontId="122" fillId="51" borderId="0" applyNumberFormat="0" applyBorder="0" applyAlignment="0" applyProtection="0"/>
    <xf numFmtId="0" fontId="43" fillId="51" borderId="0" applyNumberFormat="0" applyBorder="0" applyAlignment="0" applyProtection="0"/>
    <xf numFmtId="0" fontId="123" fillId="51" borderId="0" applyNumberFormat="0" applyBorder="0" applyAlignment="0" applyProtection="0"/>
    <xf numFmtId="0" fontId="121" fillId="51" borderId="0" applyNumberFormat="0" applyBorder="0" applyAlignment="0" applyProtection="0"/>
    <xf numFmtId="0" fontId="43" fillId="51" borderId="0" applyNumberFormat="0" applyBorder="0" applyAlignment="0" applyProtection="0"/>
    <xf numFmtId="0" fontId="122" fillId="51" borderId="0" applyNumberFormat="0" applyBorder="0" applyAlignment="0" applyProtection="0"/>
    <xf numFmtId="0" fontId="122" fillId="51" borderId="0" applyNumberFormat="0" applyBorder="0" applyAlignment="0" applyProtection="0"/>
    <xf numFmtId="0" fontId="121" fillId="51" borderId="0" applyNumberFormat="0" applyBorder="0" applyAlignment="0" applyProtection="0"/>
    <xf numFmtId="0" fontId="121" fillId="51" borderId="0" applyNumberFormat="0" applyBorder="0" applyAlignment="0" applyProtection="0"/>
    <xf numFmtId="0" fontId="46" fillId="31" borderId="0" applyNumberFormat="0" applyBorder="0" applyAlignment="0" applyProtection="0"/>
    <xf numFmtId="0" fontId="123" fillId="51" borderId="0" applyNumberFormat="0" applyBorder="0" applyAlignment="0" applyProtection="0"/>
    <xf numFmtId="0" fontId="43" fillId="51" borderId="0" applyNumberFormat="0" applyBorder="0" applyAlignment="0" applyProtection="0"/>
    <xf numFmtId="0" fontId="123" fillId="51" borderId="0" applyNumberFormat="0" applyBorder="0" applyAlignment="0" applyProtection="0"/>
    <xf numFmtId="0" fontId="46" fillId="31" borderId="0" applyNumberFormat="0" applyBorder="0" applyAlignment="0" applyProtection="0"/>
    <xf numFmtId="0" fontId="121" fillId="56" borderId="0" applyNumberFormat="0" applyBorder="0" applyAlignment="0" applyProtection="0"/>
    <xf numFmtId="0" fontId="122" fillId="56" borderId="0" applyNumberFormat="0" applyBorder="0" applyAlignment="0" applyProtection="0"/>
    <xf numFmtId="0" fontId="43" fillId="56" borderId="0" applyNumberFormat="0" applyBorder="0" applyAlignment="0" applyProtection="0"/>
    <xf numFmtId="0" fontId="123" fillId="56" borderId="0" applyNumberFormat="0" applyBorder="0" applyAlignment="0" applyProtection="0"/>
    <xf numFmtId="0" fontId="121" fillId="56" borderId="0" applyNumberFormat="0" applyBorder="0" applyAlignment="0" applyProtection="0"/>
    <xf numFmtId="0" fontId="43" fillId="56" borderId="0" applyNumberFormat="0" applyBorder="0" applyAlignment="0" applyProtection="0"/>
    <xf numFmtId="0" fontId="122" fillId="56" borderId="0" applyNumberFormat="0" applyBorder="0" applyAlignment="0" applyProtection="0"/>
    <xf numFmtId="0" fontId="121" fillId="56" borderId="0" applyNumberFormat="0" applyBorder="0" applyAlignment="0" applyProtection="0"/>
    <xf numFmtId="0" fontId="121" fillId="56" borderId="0" applyNumberFormat="0" applyBorder="0" applyAlignment="0" applyProtection="0"/>
    <xf numFmtId="0" fontId="46" fillId="35" borderId="0" applyNumberFormat="0" applyBorder="0" applyAlignment="0" applyProtection="0"/>
    <xf numFmtId="0" fontId="123" fillId="56" borderId="0" applyNumberFormat="0" applyBorder="0" applyAlignment="0" applyProtection="0"/>
    <xf numFmtId="0" fontId="43" fillId="56" borderId="0" applyNumberFormat="0" applyBorder="0" applyAlignment="0" applyProtection="0"/>
    <xf numFmtId="0" fontId="123" fillId="56" borderId="0" applyNumberFormat="0" applyBorder="0" applyAlignment="0" applyProtection="0"/>
    <xf numFmtId="0" fontId="46" fillId="35" borderId="0" applyNumberFormat="0" applyBorder="0" applyAlignment="0" applyProtection="0"/>
    <xf numFmtId="198" fontId="39" fillId="68" borderId="35">
      <alignment horizontal="center" vertical="center"/>
    </xf>
    <xf numFmtId="198" fontId="39" fillId="68" borderId="35">
      <alignment horizontal="center" vertical="center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03" fillId="40" borderId="0" applyNumberFormat="0" applyBorder="0" applyAlignment="0" applyProtection="0"/>
    <xf numFmtId="0" fontId="124" fillId="40" borderId="0" applyNumberFormat="0" applyBorder="0" applyAlignment="0" applyProtection="0"/>
    <xf numFmtId="0" fontId="47" fillId="40" borderId="0" applyNumberFormat="0" applyBorder="0" applyAlignment="0" applyProtection="0"/>
    <xf numFmtId="0" fontId="125" fillId="40" borderId="0" applyNumberFormat="0" applyBorder="0" applyAlignment="0" applyProtection="0"/>
    <xf numFmtId="0" fontId="103" fillId="40" borderId="0" applyNumberFormat="0" applyBorder="0" applyAlignment="0" applyProtection="0"/>
    <xf numFmtId="0" fontId="47" fillId="40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98" fillId="9" borderId="0" applyNumberFormat="0" applyBorder="0" applyAlignment="0" applyProtection="0"/>
    <xf numFmtId="0" fontId="125" fillId="40" borderId="0" applyNumberFormat="0" applyBorder="0" applyAlignment="0" applyProtection="0"/>
    <xf numFmtId="0" fontId="47" fillId="40" borderId="0" applyNumberFormat="0" applyBorder="0" applyAlignment="0" applyProtection="0"/>
    <xf numFmtId="0" fontId="125" fillId="40" borderId="0" applyNumberFormat="0" applyBorder="0" applyAlignment="0" applyProtection="0"/>
    <xf numFmtId="0" fontId="98" fillId="9" borderId="0" applyNumberFormat="0" applyBorder="0" applyAlignment="0" applyProtection="0"/>
    <xf numFmtId="199" fontId="126" fillId="0" borderId="0" applyFill="0" applyBorder="0" applyAlignment="0"/>
    <xf numFmtId="0" fontId="127" fillId="57" borderId="15" applyNumberFormat="0" applyAlignment="0" applyProtection="0"/>
    <xf numFmtId="0" fontId="50" fillId="47" borderId="36" applyNumberFormat="0" applyAlignment="0" applyProtection="0"/>
    <xf numFmtId="0" fontId="50" fillId="58" borderId="15" applyNumberFormat="0" applyAlignment="0" applyProtection="0"/>
    <xf numFmtId="0" fontId="128" fillId="57" borderId="15" applyNumberFormat="0" applyAlignment="0" applyProtection="0"/>
    <xf numFmtId="0" fontId="127" fillId="57" borderId="15" applyNumberFormat="0" applyAlignment="0" applyProtection="0"/>
    <xf numFmtId="0" fontId="50" fillId="58" borderId="15" applyNumberFormat="0" applyAlignment="0" applyProtection="0"/>
    <xf numFmtId="0" fontId="50" fillId="47" borderId="36" applyNumberFormat="0" applyAlignment="0" applyProtection="0"/>
    <xf numFmtId="0" fontId="50" fillId="47" borderId="36" applyNumberFormat="0" applyAlignment="0" applyProtection="0"/>
    <xf numFmtId="0" fontId="50" fillId="57" borderId="15" applyNumberFormat="0" applyAlignment="0" applyProtection="0"/>
    <xf numFmtId="0" fontId="50" fillId="47" borderId="36" applyNumberFormat="0" applyAlignment="0" applyProtection="0"/>
    <xf numFmtId="0" fontId="50" fillId="57" borderId="15" applyNumberFormat="0" applyAlignment="0" applyProtection="0"/>
    <xf numFmtId="0" fontId="127" fillId="57" borderId="15" applyNumberFormat="0" applyAlignment="0" applyProtection="0"/>
    <xf numFmtId="0" fontId="50" fillId="57" borderId="15" applyNumberFormat="0" applyAlignment="0" applyProtection="0"/>
    <xf numFmtId="0" fontId="111" fillId="12" borderId="9" applyNumberFormat="0" applyAlignment="0" applyProtection="0"/>
    <xf numFmtId="0" fontId="128" fillId="57" borderId="15" applyNumberFormat="0" applyAlignment="0" applyProtection="0"/>
    <xf numFmtId="0" fontId="128" fillId="57" borderId="15" applyNumberFormat="0" applyAlignment="0" applyProtection="0"/>
    <xf numFmtId="0" fontId="50" fillId="57" borderId="15" applyNumberFormat="0" applyAlignment="0" applyProtection="0"/>
    <xf numFmtId="0" fontId="128" fillId="57" borderId="15" applyNumberFormat="0" applyAlignment="0" applyProtection="0"/>
    <xf numFmtId="0" fontId="111" fillId="12" borderId="9" applyNumberFormat="0" applyAlignment="0" applyProtection="0"/>
    <xf numFmtId="0" fontId="129" fillId="58" borderId="16" applyNumberFormat="0" applyAlignment="0" applyProtection="0"/>
    <xf numFmtId="0" fontId="130" fillId="58" borderId="16" applyNumberFormat="0" applyAlignment="0" applyProtection="0"/>
    <xf numFmtId="0" fontId="55" fillId="57" borderId="16" applyNumberFormat="0" applyAlignment="0" applyProtection="0"/>
    <xf numFmtId="0" fontId="131" fillId="58" borderId="16" applyNumberFormat="0" applyAlignment="0" applyProtection="0"/>
    <xf numFmtId="0" fontId="129" fillId="58" borderId="16" applyNumberFormat="0" applyAlignment="0" applyProtection="0"/>
    <xf numFmtId="0" fontId="55" fillId="57" borderId="16" applyNumberFormat="0" applyAlignment="0" applyProtection="0"/>
    <xf numFmtId="0" fontId="130" fillId="58" borderId="16" applyNumberFormat="0" applyAlignment="0" applyProtection="0"/>
    <xf numFmtId="0" fontId="55" fillId="58" borderId="16" applyNumberFormat="0" applyAlignment="0" applyProtection="0"/>
    <xf numFmtId="0" fontId="130" fillId="58" borderId="16" applyNumberFormat="0" applyAlignment="0" applyProtection="0"/>
    <xf numFmtId="0" fontId="129" fillId="58" borderId="16" applyNumberFormat="0" applyAlignment="0" applyProtection="0"/>
    <xf numFmtId="0" fontId="53" fillId="13" borderId="12" applyNumberFormat="0" applyAlignment="0" applyProtection="0"/>
    <xf numFmtId="0" fontId="55" fillId="58" borderId="16" applyNumberFormat="0" applyAlignment="0" applyProtection="0"/>
    <xf numFmtId="0" fontId="131" fillId="58" borderId="16" applyNumberFormat="0" applyAlignment="0" applyProtection="0"/>
    <xf numFmtId="0" fontId="53" fillId="13" borderId="12" applyNumberFormat="0" applyAlignment="0" applyProtection="0"/>
    <xf numFmtId="0" fontId="132" fillId="0" borderId="0" applyFont="0" applyFill="0" applyBorder="0" applyAlignment="0" applyProtection="0">
      <alignment horizontal="right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0" fontId="132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200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200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34" fillId="0" borderId="0"/>
    <xf numFmtId="0" fontId="135" fillId="0" borderId="0"/>
    <xf numFmtId="0" fontId="136" fillId="0" borderId="0" applyNumberFormat="0" applyAlignment="0">
      <alignment horizontal="left"/>
    </xf>
    <xf numFmtId="0" fontId="137" fillId="0" borderId="0" applyNumberFormat="0" applyAlignment="0"/>
    <xf numFmtId="0" fontId="135" fillId="0" borderId="0"/>
    <xf numFmtId="0" fontId="135" fillId="0" borderId="0"/>
    <xf numFmtId="0" fontId="132" fillId="0" borderId="0" applyFont="0" applyFill="0" applyBorder="0" applyAlignment="0" applyProtection="0">
      <alignment horizontal="right"/>
    </xf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7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6" fontId="139" fillId="0" borderId="0">
      <protection locked="0"/>
    </xf>
    <xf numFmtId="6" fontId="139" fillId="0" borderId="0">
      <protection locked="0"/>
    </xf>
    <xf numFmtId="14" fontId="22" fillId="0" borderId="0" applyFont="0" applyFill="0" applyBorder="0" applyAlignment="0" applyProtection="0"/>
    <xf numFmtId="6" fontId="139" fillId="0" borderId="0">
      <protection locked="0"/>
    </xf>
    <xf numFmtId="0" fontId="13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132" fillId="0" borderId="37" applyNumberFormat="0" applyFont="0" applyFill="0" applyAlignment="0" applyProtection="0"/>
    <xf numFmtId="172" fontId="17" fillId="0" borderId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3" fillId="0" borderId="0" applyProtection="0"/>
    <xf numFmtId="0" fontId="143" fillId="0" borderId="0" applyProtection="0"/>
    <xf numFmtId="0" fontId="14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144" fillId="0" borderId="0" applyProtection="0"/>
    <xf numFmtId="0" fontId="144" fillId="0" borderId="0" applyProtection="0"/>
    <xf numFmtId="0" fontId="144" fillId="0" borderId="0" applyProtection="0"/>
    <xf numFmtId="0" fontId="145" fillId="0" borderId="0" applyProtection="0"/>
    <xf numFmtId="0" fontId="145" fillId="0" borderId="0" applyProtection="0"/>
    <xf numFmtId="0" fontId="145" fillId="0" borderId="0" applyProtection="0"/>
    <xf numFmtId="0" fontId="145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201" fontId="17" fillId="0" borderId="0">
      <protection locked="0"/>
    </xf>
    <xf numFmtId="201" fontId="17" fillId="0" borderId="0">
      <protection locked="0"/>
    </xf>
    <xf numFmtId="201" fontId="17" fillId="0" borderId="0">
      <protection locked="0"/>
    </xf>
    <xf numFmtId="201" fontId="17" fillId="0" borderId="0">
      <protection locked="0"/>
    </xf>
    <xf numFmtId="201" fontId="17" fillId="0" borderId="0">
      <protection locked="0"/>
    </xf>
    <xf numFmtId="2" fontId="146" fillId="0" borderId="0" applyFont="0" applyFill="0" applyBorder="0" applyAlignment="0" applyProtection="0"/>
    <xf numFmtId="0" fontId="135" fillId="0" borderId="0"/>
    <xf numFmtId="0" fontId="135" fillId="0" borderId="0"/>
    <xf numFmtId="0" fontId="145" fillId="0" borderId="0" applyFill="0" applyBorder="0" applyProtection="0">
      <alignment horizontal="left"/>
    </xf>
    <xf numFmtId="0" fontId="31" fillId="41" borderId="0" applyNumberFormat="0" applyBorder="0" applyAlignment="0" applyProtection="0"/>
    <xf numFmtId="0" fontId="147" fillId="64" borderId="0" applyNumberFormat="0" applyBorder="0" applyAlignment="0" applyProtection="0"/>
    <xf numFmtId="0" fontId="62" fillId="41" borderId="0" applyNumberFormat="0" applyBorder="0" applyAlignment="0" applyProtection="0"/>
    <xf numFmtId="0" fontId="148" fillId="41" borderId="0" applyNumberFormat="0" applyBorder="0" applyAlignment="0" applyProtection="0"/>
    <xf numFmtId="0" fontId="31" fillId="41" borderId="0" applyNumberFormat="0" applyBorder="0" applyAlignment="0" applyProtection="0"/>
    <xf numFmtId="0" fontId="62" fillId="41" borderId="0" applyNumberFormat="0" applyBorder="0" applyAlignment="0" applyProtection="0"/>
    <xf numFmtId="0" fontId="31" fillId="41" borderId="0" applyNumberFormat="0" applyBorder="0" applyAlignment="0" applyProtection="0"/>
    <xf numFmtId="0" fontId="64" fillId="8" borderId="0" applyNumberFormat="0" applyBorder="0" applyAlignment="0" applyProtection="0"/>
    <xf numFmtId="0" fontId="62" fillId="41" borderId="0" applyNumberFormat="0" applyBorder="0" applyAlignment="0" applyProtection="0"/>
    <xf numFmtId="0" fontId="148" fillId="41" borderId="0" applyNumberFormat="0" applyBorder="0" applyAlignment="0" applyProtection="0"/>
    <xf numFmtId="0" fontId="64" fillId="8" borderId="0" applyNumberFormat="0" applyBorder="0" applyAlignment="0" applyProtection="0"/>
    <xf numFmtId="0" fontId="102" fillId="8" borderId="0" applyNumberFormat="0" applyBorder="0" applyAlignment="0" applyProtection="0"/>
    <xf numFmtId="38" fontId="22" fillId="3" borderId="0" applyNumberFormat="0" applyBorder="0" applyAlignment="0" applyProtection="0"/>
    <xf numFmtId="38" fontId="22" fillId="3" borderId="0" applyNumberFormat="0" applyBorder="0" applyAlignment="0" applyProtection="0"/>
    <xf numFmtId="0" fontId="132" fillId="0" borderId="0" applyFont="0" applyFill="0" applyBorder="0" applyAlignment="0" applyProtection="0">
      <alignment horizontal="right"/>
    </xf>
    <xf numFmtId="0" fontId="149" fillId="0" borderId="0" applyProtection="0">
      <alignment horizontal="right"/>
    </xf>
    <xf numFmtId="0" fontId="150" fillId="0" borderId="0" applyNumberFormat="0" applyFill="0" applyBorder="0" applyAlignment="0" applyProtection="0"/>
    <xf numFmtId="0" fontId="149" fillId="0" borderId="0" applyProtection="0">
      <alignment horizontal="right"/>
    </xf>
    <xf numFmtId="0" fontId="26" fillId="0" borderId="31" applyNumberFormat="0" applyAlignment="0" applyProtection="0">
      <alignment horizontal="left"/>
    </xf>
    <xf numFmtId="0" fontId="26" fillId="0" borderId="32">
      <alignment horizontal="left"/>
    </xf>
    <xf numFmtId="0" fontId="151" fillId="0" borderId="38" applyNumberFormat="0" applyFill="0" applyAlignment="0" applyProtection="0"/>
    <xf numFmtId="0" fontId="152" fillId="0" borderId="17" applyNumberFormat="0" applyFill="0" applyAlignment="0" applyProtection="0"/>
    <xf numFmtId="0" fontId="153" fillId="0" borderId="38" applyNumberFormat="0" applyFill="0" applyAlignment="0" applyProtection="0"/>
    <xf numFmtId="0" fontId="153" fillId="0" borderId="38" applyNumberFormat="0" applyFill="0" applyAlignment="0" applyProtection="0"/>
    <xf numFmtId="0" fontId="66" fillId="0" borderId="17" applyNumberFormat="0" applyFill="0" applyAlignment="0" applyProtection="0"/>
    <xf numFmtId="0" fontId="153" fillId="0" borderId="38" applyNumberFormat="0" applyFill="0" applyAlignment="0" applyProtection="0"/>
    <xf numFmtId="0" fontId="152" fillId="0" borderId="17" applyNumberFormat="0" applyFill="0" applyAlignment="0" applyProtection="0"/>
    <xf numFmtId="0" fontId="107" fillId="0" borderId="6" applyNumberFormat="0" applyFill="0" applyAlignment="0" applyProtection="0"/>
    <xf numFmtId="0" fontId="152" fillId="0" borderId="17" applyNumberFormat="0" applyFill="0" applyAlignment="0" applyProtection="0"/>
    <xf numFmtId="0" fontId="66" fillId="0" borderId="17" applyNumberFormat="0" applyFill="0" applyAlignment="0" applyProtection="0"/>
    <xf numFmtId="0" fontId="152" fillId="0" borderId="17" applyNumberFormat="0" applyFill="0" applyAlignment="0" applyProtection="0"/>
    <xf numFmtId="0" fontId="107" fillId="0" borderId="6" applyNumberFormat="0" applyFill="0" applyAlignment="0" applyProtection="0"/>
    <xf numFmtId="0" fontId="26" fillId="0" borderId="0" applyNumberFormat="0" applyFont="0" applyFill="0" applyAlignment="0" applyProtection="0"/>
    <xf numFmtId="0" fontId="154" fillId="0" borderId="18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69" fillId="0" borderId="18" applyNumberFormat="0" applyFill="0" applyAlignment="0" applyProtection="0"/>
    <xf numFmtId="0" fontId="155" fillId="0" borderId="39" applyNumberFormat="0" applyFill="0" applyAlignment="0" applyProtection="0"/>
    <xf numFmtId="0" fontId="154" fillId="0" borderId="18" applyNumberFormat="0" applyFill="0" applyAlignment="0" applyProtection="0"/>
    <xf numFmtId="0" fontId="108" fillId="0" borderId="7" applyNumberFormat="0" applyFill="0" applyAlignment="0" applyProtection="0"/>
    <xf numFmtId="0" fontId="154" fillId="0" borderId="18" applyNumberFormat="0" applyFill="0" applyAlignment="0" applyProtection="0"/>
    <xf numFmtId="0" fontId="69" fillId="0" borderId="18" applyNumberFormat="0" applyFill="0" applyAlignment="0" applyProtection="0"/>
    <xf numFmtId="0" fontId="154" fillId="0" borderId="18" applyNumberFormat="0" applyFill="0" applyAlignment="0" applyProtection="0"/>
    <xf numFmtId="0" fontId="108" fillId="0" borderId="7" applyNumberFormat="0" applyFill="0" applyAlignment="0" applyProtection="0"/>
    <xf numFmtId="0" fontId="156" fillId="0" borderId="40" applyNumberFormat="0" applyFill="0" applyAlignment="0" applyProtection="0"/>
    <xf numFmtId="0" fontId="157" fillId="0" borderId="1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72" fillId="0" borderId="19" applyNumberFormat="0" applyFill="0" applyAlignment="0" applyProtection="0"/>
    <xf numFmtId="0" fontId="158" fillId="0" borderId="40" applyNumberFormat="0" applyFill="0" applyAlignment="0" applyProtection="0"/>
    <xf numFmtId="0" fontId="157" fillId="0" borderId="19" applyNumberFormat="0" applyFill="0" applyAlignment="0" applyProtection="0"/>
    <xf numFmtId="0" fontId="109" fillId="0" borderId="8" applyNumberFormat="0" applyFill="0" applyAlignment="0" applyProtection="0"/>
    <xf numFmtId="0" fontId="157" fillId="0" borderId="19" applyNumberFormat="0" applyFill="0" applyAlignment="0" applyProtection="0"/>
    <xf numFmtId="0" fontId="72" fillId="0" borderId="19" applyNumberFormat="0" applyFill="0" applyAlignment="0" applyProtection="0"/>
    <xf numFmtId="0" fontId="157" fillId="0" borderId="19" applyNumberFormat="0" applyFill="0" applyAlignment="0" applyProtection="0"/>
    <xf numFmtId="0" fontId="109" fillId="0" borderId="8" applyNumberFormat="0" applyFill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02" fontId="17" fillId="0" borderId="0">
      <protection locked="0"/>
    </xf>
    <xf numFmtId="202" fontId="17" fillId="0" borderId="0">
      <protection locked="0"/>
    </xf>
    <xf numFmtId="202" fontId="17" fillId="0" borderId="0">
      <protection locked="0"/>
    </xf>
    <xf numFmtId="202" fontId="17" fillId="0" borderId="0">
      <protection locked="0"/>
    </xf>
    <xf numFmtId="202" fontId="17" fillId="0" borderId="0">
      <protection locked="0"/>
    </xf>
    <xf numFmtId="38" fontId="159" fillId="0" borderId="0"/>
    <xf numFmtId="202" fontId="17" fillId="0" borderId="0">
      <protection locked="0"/>
    </xf>
    <xf numFmtId="202" fontId="17" fillId="0" borderId="0">
      <protection locked="0"/>
    </xf>
    <xf numFmtId="202" fontId="17" fillId="0" borderId="0">
      <protection locked="0"/>
    </xf>
    <xf numFmtId="202" fontId="17" fillId="0" borderId="0">
      <protection locked="0"/>
    </xf>
    <xf numFmtId="202" fontId="17" fillId="0" borderId="0">
      <protection locked="0"/>
    </xf>
    <xf numFmtId="40" fontId="159" fillId="0" borderId="0"/>
    <xf numFmtId="0" fontId="28" fillId="0" borderId="41" applyNumberFormat="0" applyFill="0" applyAlignment="0" applyProtection="0"/>
    <xf numFmtId="0" fontId="28" fillId="0" borderId="41" applyNumberFormat="0" applyFill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187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10" fontId="22" fillId="69" borderId="5" applyNumberFormat="0" applyBorder="0" applyAlignment="0" applyProtection="0"/>
    <xf numFmtId="10" fontId="22" fillId="69" borderId="5" applyNumberFormat="0" applyBorder="0" applyAlignment="0" applyProtection="0"/>
    <xf numFmtId="10" fontId="22" fillId="69" borderId="5" applyNumberFormat="0" applyBorder="0" applyAlignment="0" applyProtection="0"/>
    <xf numFmtId="10" fontId="22" fillId="69" borderId="5" applyNumberFormat="0" applyBorder="0" applyAlignment="0" applyProtection="0"/>
    <xf numFmtId="10" fontId="22" fillId="4" borderId="5" applyNumberFormat="0" applyBorder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5" fillId="44" borderId="15" applyNumberFormat="0" applyAlignment="0" applyProtection="0"/>
    <xf numFmtId="0" fontId="78" fillId="44" borderId="36" applyNumberFormat="0" applyAlignment="0" applyProtection="0"/>
    <xf numFmtId="0" fontId="78" fillId="44" borderId="15" applyNumberFormat="0" applyAlignment="0" applyProtection="0"/>
    <xf numFmtId="0" fontId="164" fillId="44" borderId="15" applyNumberFormat="0" applyAlignment="0" applyProtection="0"/>
    <xf numFmtId="0" fontId="165" fillId="44" borderId="15" applyNumberFormat="0" applyAlignment="0" applyProtection="0"/>
    <xf numFmtId="0" fontId="78" fillId="44" borderId="15" applyNumberFormat="0" applyAlignment="0" applyProtection="0"/>
    <xf numFmtId="0" fontId="78" fillId="44" borderId="36" applyNumberFormat="0" applyAlignment="0" applyProtection="0"/>
    <xf numFmtId="0" fontId="78" fillId="44" borderId="36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76" fillId="11" borderId="9" applyNumberFormat="0" applyAlignment="0" applyProtection="0"/>
    <xf numFmtId="0" fontId="164" fillId="44" borderId="15" applyNumberFormat="0" applyAlignment="0" applyProtection="0"/>
    <xf numFmtId="0" fontId="76" fillId="11" borderId="9" applyNumberFormat="0" applyAlignment="0" applyProtection="0"/>
    <xf numFmtId="0" fontId="164" fillId="44" borderId="15" applyNumberFormat="0" applyAlignment="0" applyProtection="0"/>
    <xf numFmtId="0" fontId="76" fillId="11" borderId="9" applyNumberFormat="0" applyAlignment="0" applyProtection="0"/>
    <xf numFmtId="0" fontId="78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78" fillId="44" borderId="15" applyNumberFormat="0" applyAlignment="0" applyProtection="0"/>
    <xf numFmtId="0" fontId="164" fillId="44" borderId="15" applyNumberFormat="0" applyAlignment="0" applyProtection="0"/>
    <xf numFmtId="0" fontId="78" fillId="44" borderId="15" applyNumberFormat="0" applyAlignment="0" applyProtection="0"/>
    <xf numFmtId="0" fontId="164" fillId="44" borderId="15" applyNumberFormat="0" applyAlignment="0" applyProtection="0"/>
    <xf numFmtId="0" fontId="78" fillId="44" borderId="15" applyNumberFormat="0" applyAlignment="0" applyProtection="0"/>
    <xf numFmtId="0" fontId="164" fillId="44" borderId="15" applyNumberFormat="0" applyAlignment="0" applyProtection="0"/>
    <xf numFmtId="0" fontId="78" fillId="44" borderId="15" applyNumberFormat="0" applyAlignment="0" applyProtection="0"/>
    <xf numFmtId="0" fontId="164" fillId="44" borderId="15" applyNumberFormat="0" applyAlignment="0" applyProtection="0"/>
    <xf numFmtId="0" fontId="165" fillId="44" borderId="15" applyNumberFormat="0" applyAlignment="0" applyProtection="0"/>
    <xf numFmtId="0" fontId="164" fillId="44" borderId="15" applyNumberFormat="0" applyAlignment="0" applyProtection="0"/>
    <xf numFmtId="0" fontId="76" fillId="11" borderId="9" applyNumberFormat="0" applyAlignment="0" applyProtection="0"/>
    <xf numFmtId="41" fontId="28" fillId="70" borderId="42">
      <alignment horizontal="left"/>
      <protection locked="0"/>
    </xf>
    <xf numFmtId="0" fontId="22" fillId="3" borderId="0"/>
    <xf numFmtId="0" fontId="166" fillId="0" borderId="20" applyNumberFormat="0" applyFill="0" applyAlignment="0" applyProtection="0"/>
    <xf numFmtId="0" fontId="80" fillId="0" borderId="20" applyNumberFormat="0" applyFill="0" applyAlignment="0" applyProtection="0"/>
    <xf numFmtId="0" fontId="166" fillId="0" borderId="20" applyNumberFormat="0" applyFill="0" applyAlignment="0" applyProtection="0"/>
    <xf numFmtId="0" fontId="167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66" fillId="0" borderId="20" applyNumberFormat="0" applyFill="0" applyAlignment="0" applyProtection="0"/>
    <xf numFmtId="0" fontId="112" fillId="0" borderId="11" applyNumberFormat="0" applyFill="0" applyAlignment="0" applyProtection="0"/>
    <xf numFmtId="0" fontId="167" fillId="0" borderId="20" applyNumberFormat="0" applyFill="0" applyAlignment="0" applyProtection="0"/>
    <xf numFmtId="0" fontId="80" fillId="0" borderId="20" applyNumberFormat="0" applyFill="0" applyAlignment="0" applyProtection="0"/>
    <xf numFmtId="0" fontId="167" fillId="0" borderId="20" applyNumberFormat="0" applyFill="0" applyAlignment="0" applyProtection="0"/>
    <xf numFmtId="0" fontId="112" fillId="0" borderId="11" applyNumberFormat="0" applyFill="0" applyAlignment="0" applyProtection="0"/>
    <xf numFmtId="44" fontId="29" fillId="0" borderId="43" applyNumberFormat="0" applyFont="0" applyAlignment="0">
      <alignment horizontal="center"/>
    </xf>
    <xf numFmtId="44" fontId="29" fillId="0" borderId="44" applyNumberFormat="0" applyFont="0" applyAlignment="0">
      <alignment horizontal="center"/>
    </xf>
    <xf numFmtId="0" fontId="132" fillId="0" borderId="0" applyFont="0" applyFill="0" applyBorder="0" applyAlignment="0" applyProtection="0">
      <alignment horizontal="right"/>
    </xf>
    <xf numFmtId="0" fontId="168" fillId="59" borderId="0" applyNumberFormat="0" applyBorder="0" applyAlignment="0" applyProtection="0"/>
    <xf numFmtId="0" fontId="83" fillId="59" borderId="0" applyNumberFormat="0" applyBorder="0" applyAlignment="0" applyProtection="0"/>
    <xf numFmtId="0" fontId="168" fillId="59" borderId="0" applyNumberFormat="0" applyBorder="0" applyAlignment="0" applyProtection="0"/>
    <xf numFmtId="0" fontId="169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168" fillId="59" borderId="0" applyNumberFormat="0" applyBorder="0" applyAlignment="0" applyProtection="0"/>
    <xf numFmtId="0" fontId="168" fillId="59" borderId="0" applyNumberFormat="0" applyBorder="0" applyAlignment="0" applyProtection="0"/>
    <xf numFmtId="0" fontId="99" fillId="10" borderId="0" applyNumberFormat="0" applyBorder="0" applyAlignment="0" applyProtection="0"/>
    <xf numFmtId="0" fontId="169" fillId="59" borderId="0" applyNumberFormat="0" applyBorder="0" applyAlignment="0" applyProtection="0"/>
    <xf numFmtId="0" fontId="83" fillId="59" borderId="0" applyNumberFormat="0" applyBorder="0" applyAlignment="0" applyProtection="0"/>
    <xf numFmtId="0" fontId="169" fillId="59" borderId="0" applyNumberFormat="0" applyBorder="0" applyAlignment="0" applyProtection="0"/>
    <xf numFmtId="0" fontId="99" fillId="10" borderId="0" applyNumberFormat="0" applyBorder="0" applyAlignment="0" applyProtection="0"/>
    <xf numFmtId="37" fontId="170" fillId="0" borderId="0"/>
    <xf numFmtId="37" fontId="170" fillId="0" borderId="0"/>
    <xf numFmtId="37" fontId="170" fillId="0" borderId="0"/>
    <xf numFmtId="203" fontId="39" fillId="0" borderId="0"/>
    <xf numFmtId="203" fontId="39" fillId="0" borderId="0"/>
    <xf numFmtId="204" fontId="1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7" fillId="0" borderId="0"/>
    <xf numFmtId="0" fontId="40" fillId="0" borderId="0"/>
    <xf numFmtId="0" fontId="4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7" fillId="0" borderId="0"/>
    <xf numFmtId="0" fontId="10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8" fillId="0" borderId="0"/>
    <xf numFmtId="0" fontId="4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7" fillId="0" borderId="0"/>
    <xf numFmtId="0" fontId="10" fillId="0" borderId="0"/>
    <xf numFmtId="0" fontId="32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38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38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39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9" fillId="0" borderId="0"/>
    <xf numFmtId="0" fontId="1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43" fillId="0" borderId="0"/>
    <xf numFmtId="0" fontId="10" fillId="0" borderId="0"/>
    <xf numFmtId="0" fontId="4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43" fillId="0" borderId="0"/>
    <xf numFmtId="0" fontId="32" fillId="0" borderId="0"/>
    <xf numFmtId="0" fontId="17" fillId="0" borderId="0"/>
    <xf numFmtId="0" fontId="138" fillId="0" borderId="0"/>
    <xf numFmtId="0" fontId="17" fillId="0" borderId="0"/>
    <xf numFmtId="0" fontId="138" fillId="0" borderId="0"/>
    <xf numFmtId="0" fontId="17" fillId="0" borderId="0"/>
    <xf numFmtId="0" fontId="138" fillId="0" borderId="0"/>
    <xf numFmtId="0" fontId="17" fillId="0" borderId="0"/>
    <xf numFmtId="0" fontId="138" fillId="0" borderId="0"/>
    <xf numFmtId="0" fontId="17" fillId="0" borderId="0"/>
    <xf numFmtId="0" fontId="138" fillId="0" borderId="0"/>
    <xf numFmtId="0" fontId="17" fillId="0" borderId="0"/>
    <xf numFmtId="0" fontId="138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38" fillId="0" borderId="0"/>
    <xf numFmtId="0" fontId="17" fillId="0" borderId="0"/>
    <xf numFmtId="0" fontId="138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38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40" fillId="0" borderId="0"/>
    <xf numFmtId="0" fontId="10" fillId="0" borderId="0"/>
    <xf numFmtId="0" fontId="17" fillId="0" borderId="0"/>
    <xf numFmtId="0" fontId="1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7" fontId="32" fillId="0" borderId="0"/>
    <xf numFmtId="187" fontId="32" fillId="0" borderId="0"/>
    <xf numFmtId="187" fontId="32" fillId="0" borderId="0"/>
    <xf numFmtId="0" fontId="17" fillId="0" borderId="0"/>
    <xf numFmtId="187" fontId="32" fillId="0" borderId="0"/>
    <xf numFmtId="0" fontId="10" fillId="0" borderId="0"/>
    <xf numFmtId="0" fontId="32" fillId="0" borderId="0"/>
    <xf numFmtId="0" fontId="32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0" fillId="14" borderId="13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36" applyNumberFormat="0" applyFont="0" applyAlignment="0" applyProtection="0"/>
    <xf numFmtId="0" fontId="17" fillId="60" borderId="36" applyNumberFormat="0" applyFont="0" applyAlignment="0" applyProtection="0"/>
    <xf numFmtId="0" fontId="40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43" fillId="60" borderId="21" applyNumberFormat="0" applyFont="0" applyAlignment="0" applyProtection="0"/>
    <xf numFmtId="0" fontId="43" fillId="14" borderId="13" applyNumberFormat="0" applyFont="0" applyAlignment="0" applyProtection="0"/>
    <xf numFmtId="0" fontId="43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32" fillId="60" borderId="21" applyNumberFormat="0" applyFont="0" applyAlignment="0" applyProtection="0"/>
    <xf numFmtId="0" fontId="17" fillId="60" borderId="21" applyNumberFormat="0" applyFont="0" applyAlignment="0" applyProtection="0"/>
    <xf numFmtId="0" fontId="17" fillId="60" borderId="21" applyNumberFormat="0" applyFont="0" applyAlignment="0" applyProtection="0"/>
    <xf numFmtId="0" fontId="32" fillId="60" borderId="21" applyNumberFormat="0" applyFont="0" applyAlignment="0" applyProtection="0"/>
    <xf numFmtId="0" fontId="172" fillId="57" borderId="22" applyNumberFormat="0" applyAlignment="0" applyProtection="0"/>
    <xf numFmtId="0" fontId="86" fillId="47" borderId="22" applyNumberFormat="0" applyAlignment="0" applyProtection="0"/>
    <xf numFmtId="0" fontId="86" fillId="58" borderId="22" applyNumberFormat="0" applyAlignment="0" applyProtection="0"/>
    <xf numFmtId="0" fontId="173" fillId="57" borderId="22" applyNumberFormat="0" applyAlignment="0" applyProtection="0"/>
    <xf numFmtId="0" fontId="172" fillId="57" borderId="22" applyNumberFormat="0" applyAlignment="0" applyProtection="0"/>
    <xf numFmtId="0" fontId="86" fillId="58" borderId="22" applyNumberFormat="0" applyAlignment="0" applyProtection="0"/>
    <xf numFmtId="0" fontId="86" fillId="47" borderId="22" applyNumberFormat="0" applyAlignment="0" applyProtection="0"/>
    <xf numFmtId="0" fontId="86" fillId="47" borderId="22" applyNumberFormat="0" applyAlignment="0" applyProtection="0"/>
    <xf numFmtId="0" fontId="86" fillId="47" borderId="22" applyNumberFormat="0" applyAlignment="0" applyProtection="0"/>
    <xf numFmtId="0" fontId="86" fillId="57" borderId="22" applyNumberFormat="0" applyAlignment="0" applyProtection="0"/>
    <xf numFmtId="0" fontId="86" fillId="47" borderId="22" applyNumberFormat="0" applyAlignment="0" applyProtection="0"/>
    <xf numFmtId="0" fontId="86" fillId="57" borderId="22" applyNumberFormat="0" applyAlignment="0" applyProtection="0"/>
    <xf numFmtId="0" fontId="86" fillId="57" borderId="22" applyNumberFormat="0" applyAlignment="0" applyProtection="0"/>
    <xf numFmtId="0" fontId="86" fillId="57" borderId="22" applyNumberFormat="0" applyAlignment="0" applyProtection="0"/>
    <xf numFmtId="0" fontId="172" fillId="57" borderId="22" applyNumberFormat="0" applyAlignment="0" applyProtection="0"/>
    <xf numFmtId="0" fontId="86" fillId="57" borderId="22" applyNumberFormat="0" applyAlignment="0" applyProtection="0"/>
    <xf numFmtId="0" fontId="86" fillId="57" borderId="22" applyNumberFormat="0" applyAlignment="0" applyProtection="0"/>
    <xf numFmtId="0" fontId="86" fillId="57" borderId="22" applyNumberFormat="0" applyAlignment="0" applyProtection="0"/>
    <xf numFmtId="0" fontId="110" fillId="12" borderId="10" applyNumberFormat="0" applyAlignment="0" applyProtection="0"/>
    <xf numFmtId="0" fontId="173" fillId="57" borderId="22" applyNumberFormat="0" applyAlignment="0" applyProtection="0"/>
    <xf numFmtId="0" fontId="173" fillId="57" borderId="22" applyNumberFormat="0" applyAlignment="0" applyProtection="0"/>
    <xf numFmtId="0" fontId="173" fillId="57" borderId="22" applyNumberFormat="0" applyAlignment="0" applyProtection="0"/>
    <xf numFmtId="0" fontId="173" fillId="57" borderId="22" applyNumberFormat="0" applyAlignment="0" applyProtection="0"/>
    <xf numFmtId="0" fontId="86" fillId="57" borderId="22" applyNumberFormat="0" applyAlignment="0" applyProtection="0"/>
    <xf numFmtId="0" fontId="86" fillId="57" borderId="22" applyNumberFormat="0" applyAlignment="0" applyProtection="0"/>
    <xf numFmtId="0" fontId="173" fillId="57" borderId="22" applyNumberFormat="0" applyAlignment="0" applyProtection="0"/>
    <xf numFmtId="0" fontId="110" fillId="12" borderId="10" applyNumberFormat="0" applyAlignment="0" applyProtection="0"/>
    <xf numFmtId="1" fontId="174" fillId="0" borderId="0" applyProtection="0">
      <alignment horizontal="right" vertical="center"/>
    </xf>
    <xf numFmtId="0" fontId="135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0" fontId="21" fillId="0" borderId="1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205" fontId="145" fillId="0" borderId="45" applyFont="0" applyFill="0" applyBorder="0" applyAlignment="0" applyProtection="0"/>
    <xf numFmtId="0" fontId="175" fillId="0" borderId="0" applyNumberFormat="0" applyFill="0" applyBorder="0" applyAlignment="0" applyProtection="0"/>
    <xf numFmtId="14" fontId="176" fillId="0" borderId="0" applyNumberFormat="0" applyFill="0" applyBorder="0" applyAlignment="0" applyProtection="0">
      <alignment horizontal="left"/>
    </xf>
    <xf numFmtId="206" fontId="17" fillId="0" borderId="0" applyFont="0" applyFill="0" applyAlignment="0">
      <alignment horizontal="right"/>
    </xf>
    <xf numFmtId="0" fontId="177" fillId="3" borderId="0" applyNumberFormat="0" applyFont="0" applyBorder="0" applyAlignment="0" applyProtection="0"/>
    <xf numFmtId="0" fontId="177" fillId="3" borderId="0" applyNumberFormat="0" applyFont="0" applyBorder="0" applyAlignment="0" applyProtection="0"/>
    <xf numFmtId="0" fontId="177" fillId="3" borderId="0" applyNumberFormat="0" applyFont="0" applyBorder="0" applyAlignment="0" applyProtection="0"/>
    <xf numFmtId="0" fontId="177" fillId="3" borderId="0" applyNumberFormat="0" applyFont="0" applyBorder="0" applyAlignment="0" applyProtection="0"/>
    <xf numFmtId="0" fontId="177" fillId="3" borderId="0" applyNumberFormat="0" applyFont="0" applyBorder="0" applyAlignment="0" applyProtection="0"/>
    <xf numFmtId="0" fontId="177" fillId="3" borderId="0" applyNumberFormat="0" applyFont="0" applyBorder="0" applyAlignment="0" applyProtection="0"/>
    <xf numFmtId="0" fontId="177" fillId="3" borderId="0" applyNumberFormat="0" applyFont="0" applyBorder="0" applyAlignment="0" applyProtection="0"/>
    <xf numFmtId="39" fontId="17" fillId="71" borderId="0"/>
    <xf numFmtId="38" fontId="22" fillId="0" borderId="46"/>
    <xf numFmtId="38" fontId="159" fillId="0" borderId="3"/>
    <xf numFmtId="39" fontId="176" fillId="72" borderId="0"/>
    <xf numFmtId="172" fontId="17" fillId="0" borderId="0">
      <alignment horizontal="lef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207" fontId="17" fillId="0" borderId="0" applyFill="0" applyBorder="0" applyAlignment="0" applyProtection="0">
      <alignment wrapText="1"/>
    </xf>
    <xf numFmtId="207" fontId="17" fillId="0" borderId="0" applyFill="0" applyBorder="0" applyAlignment="0" applyProtection="0">
      <alignment wrapText="1"/>
    </xf>
    <xf numFmtId="207" fontId="17" fillId="0" borderId="0" applyFill="0" applyBorder="0" applyAlignment="0" applyProtection="0">
      <alignment wrapText="1"/>
    </xf>
    <xf numFmtId="207" fontId="17" fillId="0" borderId="0" applyFill="0" applyBorder="0" applyAlignment="0" applyProtection="0">
      <alignment wrapText="1"/>
    </xf>
    <xf numFmtId="207" fontId="17" fillId="0" borderId="0" applyFill="0" applyBorder="0" applyAlignment="0" applyProtection="0">
      <alignment wrapText="1"/>
    </xf>
    <xf numFmtId="40" fontId="178" fillId="0" borderId="0" applyBorder="0">
      <alignment horizontal="right"/>
    </xf>
    <xf numFmtId="0" fontId="179" fillId="0" borderId="0" applyBorder="0" applyProtection="0">
      <alignment vertical="center"/>
    </xf>
    <xf numFmtId="0" fontId="179" fillId="0" borderId="2" applyBorder="0" applyProtection="0">
      <alignment horizontal="right" vertical="center"/>
    </xf>
    <xf numFmtId="0" fontId="180" fillId="73" borderId="0" applyBorder="0" applyProtection="0">
      <alignment horizontal="centerContinuous" vertical="center"/>
    </xf>
    <xf numFmtId="0" fontId="180" fillId="61" borderId="2" applyBorder="0" applyProtection="0">
      <alignment horizontal="centerContinuous" vertical="center"/>
    </xf>
    <xf numFmtId="0" fontId="159" fillId="0" borderId="0" applyBorder="0" applyProtection="0">
      <alignment horizontal="left"/>
    </xf>
    <xf numFmtId="0" fontId="159" fillId="0" borderId="0" applyBorder="0" applyProtection="0">
      <alignment horizontal="left"/>
    </xf>
    <xf numFmtId="0" fontId="181" fillId="0" borderId="0" applyFill="0" applyBorder="0" applyProtection="0">
      <alignment horizontal="left"/>
    </xf>
    <xf numFmtId="0" fontId="22" fillId="0" borderId="45" applyFill="0" applyBorder="0" applyProtection="0">
      <alignment horizontal="left" vertical="top"/>
    </xf>
    <xf numFmtId="0" fontId="22" fillId="0" borderId="45" applyFill="0" applyBorder="0" applyProtection="0">
      <alignment horizontal="left" vertical="top"/>
    </xf>
    <xf numFmtId="0" fontId="22" fillId="0" borderId="45" applyFill="0" applyBorder="0" applyProtection="0">
      <alignment horizontal="left" vertical="top"/>
    </xf>
    <xf numFmtId="0" fontId="22" fillId="0" borderId="45" applyFill="0" applyBorder="0" applyProtection="0">
      <alignment horizontal="left" vertical="top"/>
    </xf>
    <xf numFmtId="0" fontId="22" fillId="0" borderId="45" applyFill="0" applyBorder="0" applyProtection="0">
      <alignment horizontal="left" vertical="top"/>
    </xf>
    <xf numFmtId="0" fontId="18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4" borderId="0">
      <alignment horizontal="left" wrapText="1"/>
    </xf>
    <xf numFmtId="0" fontId="184" fillId="0" borderId="0">
      <alignment horizontal="left" vertical="center"/>
    </xf>
    <xf numFmtId="0" fontId="97" fillId="0" borderId="23" applyNumberFormat="0" applyFill="0" applyAlignment="0" applyProtection="0"/>
    <xf numFmtId="0" fontId="55" fillId="0" borderId="47" applyNumberFormat="0" applyFill="0" applyAlignment="0" applyProtection="0"/>
    <xf numFmtId="0" fontId="90" fillId="0" borderId="47" applyNumberFormat="0" applyFill="0" applyAlignment="0" applyProtection="0"/>
    <xf numFmtId="0" fontId="185" fillId="0" borderId="23" applyNumberFormat="0" applyFill="0" applyAlignment="0" applyProtection="0"/>
    <xf numFmtId="0" fontId="97" fillId="0" borderId="23" applyNumberFormat="0" applyFill="0" applyAlignment="0" applyProtection="0"/>
    <xf numFmtId="0" fontId="90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90" fillId="0" borderId="23" applyNumberFormat="0" applyFill="0" applyAlignment="0" applyProtection="0"/>
    <xf numFmtId="0" fontId="55" fillId="0" borderId="47" applyNumberFormat="0" applyFill="0" applyAlignment="0" applyProtection="0"/>
    <xf numFmtId="0" fontId="90" fillId="0" borderId="23" applyNumberFormat="0" applyFill="0" applyAlignment="0" applyProtection="0"/>
    <xf numFmtId="0" fontId="97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14" applyNumberFormat="0" applyFill="0" applyAlignment="0" applyProtection="0"/>
    <xf numFmtId="0" fontId="185" fillId="0" borderId="23" applyNumberFormat="0" applyFill="0" applyAlignment="0" applyProtection="0"/>
    <xf numFmtId="0" fontId="185" fillId="0" borderId="23" applyNumberFormat="0" applyFill="0" applyAlignment="0" applyProtection="0"/>
    <xf numFmtId="0" fontId="90" fillId="0" borderId="23" applyNumberFormat="0" applyFill="0" applyAlignment="0" applyProtection="0"/>
    <xf numFmtId="0" fontId="185" fillId="0" borderId="23" applyNumberFormat="0" applyFill="0" applyAlignment="0" applyProtection="0"/>
    <xf numFmtId="0" fontId="101" fillId="0" borderId="14" applyNumberFormat="0" applyFill="0" applyAlignment="0" applyProtection="0"/>
    <xf numFmtId="37" fontId="22" fillId="70" borderId="0" applyNumberFormat="0" applyBorder="0" applyAlignment="0" applyProtection="0"/>
    <xf numFmtId="37" fontId="22" fillId="70" borderId="0" applyNumberFormat="0" applyBorder="0" applyAlignment="0" applyProtection="0"/>
    <xf numFmtId="37" fontId="22" fillId="0" borderId="0"/>
    <xf numFmtId="37" fontId="22" fillId="0" borderId="0"/>
    <xf numFmtId="37" fontId="22" fillId="0" borderId="0"/>
    <xf numFmtId="37" fontId="22" fillId="70" borderId="0" applyNumberFormat="0" applyBorder="0" applyAlignment="0" applyProtection="0"/>
    <xf numFmtId="3" fontId="186" fillId="0" borderId="41" applyProtection="0"/>
    <xf numFmtId="37" fontId="17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0" borderId="0"/>
    <xf numFmtId="0" fontId="40" fillId="58" borderId="0" applyNumberFormat="0" applyBorder="0" applyAlignment="0" applyProtection="0"/>
    <xf numFmtId="0" fontId="119" fillId="39" borderId="0" applyNumberFormat="0" applyBorder="0" applyAlignment="0" applyProtection="0"/>
    <xf numFmtId="0" fontId="40" fillId="44" borderId="0" applyNumberFormat="0" applyBorder="0" applyAlignment="0" applyProtection="0"/>
    <xf numFmtId="0" fontId="119" fillId="40" borderId="0" applyNumberFormat="0" applyBorder="0" applyAlignment="0" applyProtection="0"/>
    <xf numFmtId="0" fontId="40" fillId="60" borderId="0" applyNumberFormat="0" applyBorder="0" applyAlignment="0" applyProtection="0"/>
    <xf numFmtId="0" fontId="119" fillId="41" borderId="0" applyNumberFormat="0" applyBorder="0" applyAlignment="0" applyProtection="0"/>
    <xf numFmtId="0" fontId="40" fillId="58" borderId="0" applyNumberFormat="0" applyBorder="0" applyAlignment="0" applyProtection="0"/>
    <xf numFmtId="0" fontId="119" fillId="42" borderId="0" applyNumberFormat="0" applyBorder="0" applyAlignment="0" applyProtection="0"/>
    <xf numFmtId="0" fontId="119" fillId="43" borderId="0" applyNumberFormat="0" applyBorder="0" applyAlignment="0" applyProtection="0"/>
    <xf numFmtId="0" fontId="119" fillId="44" borderId="0" applyNumberFormat="0" applyBorder="0" applyAlignment="0" applyProtection="0"/>
    <xf numFmtId="0" fontId="40" fillId="57" borderId="0" applyNumberFormat="0" applyBorder="0" applyAlignment="0" applyProtection="0"/>
    <xf numFmtId="0" fontId="119" fillId="45" borderId="0" applyNumberFormat="0" applyBorder="0" applyAlignment="0" applyProtection="0"/>
    <xf numFmtId="0" fontId="119" fillId="46" borderId="0" applyNumberFormat="0" applyBorder="0" applyAlignment="0" applyProtection="0"/>
    <xf numFmtId="0" fontId="40" fillId="59" borderId="0" applyNumberFormat="0" applyBorder="0" applyAlignment="0" applyProtection="0"/>
    <xf numFmtId="0" fontId="119" fillId="47" borderId="0" applyNumberFormat="0" applyBorder="0" applyAlignment="0" applyProtection="0"/>
    <xf numFmtId="0" fontId="40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45" borderId="0" applyNumberFormat="0" applyBorder="0" applyAlignment="0" applyProtection="0"/>
    <xf numFmtId="0" fontId="40" fillId="44" borderId="0" applyNumberFormat="0" applyBorder="0" applyAlignment="0" applyProtection="0"/>
    <xf numFmtId="0" fontId="119" fillId="48" borderId="0" applyNumberFormat="0" applyBorder="0" applyAlignment="0" applyProtection="0"/>
    <xf numFmtId="0" fontId="122" fillId="51" borderId="0" applyNumberFormat="0" applyBorder="0" applyAlignment="0" applyProtection="0"/>
    <xf numFmtId="0" fontId="121" fillId="49" borderId="0" applyNumberFormat="0" applyBorder="0" applyAlignment="0" applyProtection="0"/>
    <xf numFmtId="0" fontId="122" fillId="46" borderId="0" applyNumberFormat="0" applyBorder="0" applyAlignment="0" applyProtection="0"/>
    <xf numFmtId="0" fontId="121" fillId="46" borderId="0" applyNumberFormat="0" applyBorder="0" applyAlignment="0" applyProtection="0"/>
    <xf numFmtId="0" fontId="122" fillId="59" borderId="0" applyNumberFormat="0" applyBorder="0" applyAlignment="0" applyProtection="0"/>
    <xf numFmtId="0" fontId="121" fillId="47" borderId="0" applyNumberFormat="0" applyBorder="0" applyAlignment="0" applyProtection="0"/>
    <xf numFmtId="0" fontId="122" fillId="57" borderId="0" applyNumberFormat="0" applyBorder="0" applyAlignment="0" applyProtection="0"/>
    <xf numFmtId="0" fontId="121" fillId="50" borderId="0" applyNumberFormat="0" applyBorder="0" applyAlignment="0" applyProtection="0"/>
    <xf numFmtId="0" fontId="122" fillId="51" borderId="0" applyNumberFormat="0" applyBorder="0" applyAlignment="0" applyProtection="0"/>
    <xf numFmtId="0" fontId="121" fillId="51" borderId="0" applyNumberFormat="0" applyBorder="0" applyAlignment="0" applyProtection="0"/>
    <xf numFmtId="0" fontId="122" fillId="66" borderId="0" applyNumberFormat="0" applyBorder="0" applyAlignment="0" applyProtection="0"/>
    <xf numFmtId="0" fontId="121" fillId="52" borderId="0" applyNumberFormat="0" applyBorder="0" applyAlignment="0" applyProtection="0"/>
    <xf numFmtId="0" fontId="122" fillId="51" borderId="0" applyNumberFormat="0" applyBorder="0" applyAlignment="0" applyProtection="0"/>
    <xf numFmtId="0" fontId="122" fillId="51" borderId="0" applyNumberFormat="0" applyBorder="0" applyAlignment="0" applyProtection="0"/>
    <xf numFmtId="0" fontId="121" fillId="53" borderId="0" applyNumberFormat="0" applyBorder="0" applyAlignment="0" applyProtection="0"/>
    <xf numFmtId="0" fontId="122" fillId="54" borderId="0" applyNumberFormat="0" applyBorder="0" applyAlignment="0" applyProtection="0"/>
    <xf numFmtId="0" fontId="121" fillId="54" borderId="0" applyNumberFormat="0" applyBorder="0" applyAlignment="0" applyProtection="0"/>
    <xf numFmtId="0" fontId="122" fillId="55" borderId="0" applyNumberFormat="0" applyBorder="0" applyAlignment="0" applyProtection="0"/>
    <xf numFmtId="0" fontId="122" fillId="55" borderId="0" applyNumberFormat="0" applyBorder="0" applyAlignment="0" applyProtection="0"/>
    <xf numFmtId="0" fontId="121" fillId="55" borderId="0" applyNumberFormat="0" applyBorder="0" applyAlignment="0" applyProtection="0"/>
    <xf numFmtId="0" fontId="122" fillId="67" borderId="0" applyNumberFormat="0" applyBorder="0" applyAlignment="0" applyProtection="0"/>
    <xf numFmtId="0" fontId="122" fillId="67" borderId="0" applyNumberFormat="0" applyBorder="0" applyAlignment="0" applyProtection="0"/>
    <xf numFmtId="0" fontId="121" fillId="50" borderId="0" applyNumberFormat="0" applyBorder="0" applyAlignment="0" applyProtection="0"/>
    <xf numFmtId="0" fontId="122" fillId="51" borderId="0" applyNumberFormat="0" applyBorder="0" applyAlignment="0" applyProtection="0"/>
    <xf numFmtId="0" fontId="121" fillId="51" borderId="0" applyNumberFormat="0" applyBorder="0" applyAlignment="0" applyProtection="0"/>
    <xf numFmtId="0" fontId="122" fillId="56" borderId="0" applyNumberFormat="0" applyBorder="0" applyAlignment="0" applyProtection="0"/>
    <xf numFmtId="0" fontId="122" fillId="56" borderId="0" applyNumberFormat="0" applyBorder="0" applyAlignment="0" applyProtection="0"/>
    <xf numFmtId="0" fontId="121" fillId="56" borderId="0" applyNumberFormat="0" applyBorder="0" applyAlignment="0" applyProtection="0"/>
    <xf numFmtId="0" fontId="124" fillId="40" borderId="0" applyNumberFormat="0" applyBorder="0" applyAlignment="0" applyProtection="0"/>
    <xf numFmtId="0" fontId="124" fillId="40" borderId="0" applyNumberFormat="0" applyBorder="0" applyAlignment="0" applyProtection="0"/>
    <xf numFmtId="0" fontId="50" fillId="47" borderId="36" applyNumberFormat="0" applyAlignment="0" applyProtection="0"/>
    <xf numFmtId="0" fontId="127" fillId="57" borderId="15" applyNumberFormat="0" applyAlignment="0" applyProtection="0"/>
    <xf numFmtId="0" fontId="130" fillId="58" borderId="16" applyNumberFormat="0" applyAlignment="0" applyProtection="0"/>
    <xf numFmtId="0" fontId="130" fillId="58" borderId="16" applyNumberFormat="0" applyAlignment="0" applyProtection="0"/>
    <xf numFmtId="0" fontId="129" fillId="58" borderId="1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0" fontId="132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7" fillId="64" borderId="0" applyNumberFormat="0" applyBorder="0" applyAlignment="0" applyProtection="0"/>
    <xf numFmtId="0" fontId="147" fillId="6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53" fillId="0" borderId="38" applyNumberFormat="0" applyFill="0" applyAlignment="0" applyProtection="0"/>
    <xf numFmtId="0" fontId="152" fillId="0" borderId="17" applyNumberFormat="0" applyFill="0" applyAlignment="0" applyProtection="0"/>
    <xf numFmtId="0" fontId="155" fillId="0" borderId="39" applyNumberFormat="0" applyFill="0" applyAlignment="0" applyProtection="0"/>
    <xf numFmtId="0" fontId="154" fillId="0" borderId="18" applyNumberFormat="0" applyFill="0" applyAlignment="0" applyProtection="0"/>
    <xf numFmtId="0" fontId="158" fillId="0" borderId="40" applyNumberFormat="0" applyFill="0" applyAlignment="0" applyProtection="0"/>
    <xf numFmtId="0" fontId="157" fillId="0" borderId="19" applyNumberFormat="0" applyFill="0" applyAlignment="0" applyProtection="0"/>
    <xf numFmtId="0" fontId="15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0" fontId="22" fillId="4" borderId="5" applyNumberFormat="0" applyBorder="0" applyAlignment="0" applyProtection="0"/>
    <xf numFmtId="0" fontId="78" fillId="44" borderId="36" applyNumberFormat="0" applyAlignment="0" applyProtection="0"/>
    <xf numFmtId="0" fontId="78" fillId="44" borderId="36" applyNumberFormat="0" applyAlignment="0" applyProtection="0"/>
    <xf numFmtId="0" fontId="165" fillId="44" borderId="15" applyNumberFormat="0" applyAlignment="0" applyProtection="0"/>
    <xf numFmtId="0" fontId="22" fillId="3" borderId="0"/>
    <xf numFmtId="0" fontId="166" fillId="0" borderId="20" applyNumberFormat="0" applyFill="0" applyAlignment="0" applyProtection="0"/>
    <xf numFmtId="0" fontId="168" fillId="59" borderId="0" applyNumberFormat="0" applyBorder="0" applyAlignment="0" applyProtection="0"/>
    <xf numFmtId="0" fontId="9" fillId="0" borderId="0"/>
    <xf numFmtId="0" fontId="9" fillId="0" borderId="0"/>
    <xf numFmtId="0" fontId="40" fillId="0" borderId="0"/>
    <xf numFmtId="0" fontId="17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4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90" fillId="0" borderId="0"/>
    <xf numFmtId="0" fontId="22" fillId="0" borderId="0"/>
    <xf numFmtId="0" fontId="190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40" fillId="0" borderId="0"/>
    <xf numFmtId="0" fontId="133" fillId="0" borderId="0"/>
    <xf numFmtId="0" fontId="133" fillId="0" borderId="0"/>
    <xf numFmtId="0" fontId="9" fillId="0" borderId="0"/>
    <xf numFmtId="0" fontId="40" fillId="0" borderId="0"/>
    <xf numFmtId="0" fontId="133" fillId="0" borderId="0"/>
    <xf numFmtId="0" fontId="40" fillId="0" borderId="0"/>
    <xf numFmtId="0" fontId="9" fillId="0" borderId="0"/>
    <xf numFmtId="0" fontId="40" fillId="0" borderId="0"/>
    <xf numFmtId="0" fontId="17" fillId="0" borderId="0"/>
    <xf numFmtId="0" fontId="133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2" fillId="57" borderId="22" applyNumberFormat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38" fontId="22" fillId="0" borderId="46"/>
    <xf numFmtId="0" fontId="89" fillId="0" borderId="0" applyNumberFormat="0" applyFill="0" applyBorder="0" applyAlignment="0" applyProtection="0"/>
    <xf numFmtId="0" fontId="90" fillId="0" borderId="47" applyNumberFormat="0" applyFill="0" applyAlignment="0" applyProtection="0"/>
    <xf numFmtId="0" fontId="97" fillId="0" borderId="23" applyNumberFormat="0" applyFill="0" applyAlignment="0" applyProtection="0"/>
    <xf numFmtId="0" fontId="187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19" fillId="0" borderId="0"/>
    <xf numFmtId="9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9" fillId="0" borderId="0"/>
    <xf numFmtId="0" fontId="119" fillId="0" borderId="0"/>
    <xf numFmtId="0" fontId="40" fillId="0" borderId="0"/>
    <xf numFmtId="0" fontId="9" fillId="0" borderId="0"/>
    <xf numFmtId="0" fontId="119" fillId="0" borderId="0"/>
    <xf numFmtId="0" fontId="11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9" fillId="0" borderId="0"/>
    <xf numFmtId="0" fontId="1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119" fillId="0" borderId="0"/>
    <xf numFmtId="0" fontId="119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17" fillId="60" borderId="21" applyNumberFormat="0" applyFont="0" applyAlignment="0" applyProtection="0"/>
    <xf numFmtId="0" fontId="119" fillId="0" borderId="0"/>
    <xf numFmtId="0" fontId="119" fillId="0" borderId="0"/>
    <xf numFmtId="0" fontId="11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72" fontId="17" fillId="0" borderId="0">
      <alignment horizontal="left" wrapText="1"/>
    </xf>
    <xf numFmtId="179" fontId="17" fillId="0" borderId="0">
      <alignment horizontal="left" wrapText="1"/>
    </xf>
    <xf numFmtId="172" fontId="17" fillId="0" borderId="0">
      <alignment horizontal="left" wrapText="1"/>
    </xf>
    <xf numFmtId="172" fontId="17" fillId="0" borderId="0">
      <alignment horizontal="left" wrapText="1"/>
    </xf>
    <xf numFmtId="179" fontId="17" fillId="0" borderId="0">
      <alignment horizontal="left" wrapText="1"/>
    </xf>
    <xf numFmtId="172" fontId="17" fillId="0" borderId="0">
      <alignment horizontal="left" wrapText="1"/>
    </xf>
    <xf numFmtId="179" fontId="17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2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0" borderId="21" applyNumberFormat="0" applyFont="0" applyAlignment="0" applyProtection="0"/>
    <xf numFmtId="0" fontId="17" fillId="60" borderId="36" applyNumberFormat="0" applyFont="0" applyAlignment="0" applyProtection="0"/>
    <xf numFmtId="0" fontId="17" fillId="60" borderId="36" applyNumberFormat="0" applyFont="0" applyAlignment="0" applyProtection="0"/>
    <xf numFmtId="0" fontId="17" fillId="60" borderId="21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06" fontId="17" fillId="0" borderId="0" applyFont="0" applyFill="0" applyAlignment="0">
      <alignment horizontal="right"/>
    </xf>
    <xf numFmtId="39" fontId="17" fillId="71" borderId="0"/>
    <xf numFmtId="172" fontId="17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0" borderId="21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9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2" fillId="0" borderId="0"/>
    <xf numFmtId="0" fontId="166" fillId="0" borderId="20" applyNumberFormat="0" applyFill="0" applyAlignment="0" applyProtection="0"/>
    <xf numFmtId="0" fontId="166" fillId="0" borderId="20" applyNumberFormat="0" applyFill="0" applyAlignment="0" applyProtection="0"/>
    <xf numFmtId="9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91" fillId="74" borderId="48" applyNumberFormat="0" applyAlignment="0" applyProtection="0"/>
    <xf numFmtId="0" fontId="191" fillId="74" borderId="48" applyNumberFormat="0" applyAlignment="0" applyProtection="0"/>
    <xf numFmtId="2" fontId="191" fillId="75" borderId="48" applyProtection="0">
      <alignment horizontal="right"/>
    </xf>
    <xf numFmtId="2" fontId="191" fillId="75" borderId="48" applyProtection="0">
      <alignment horizontal="right"/>
    </xf>
    <xf numFmtId="2" fontId="192" fillId="76" borderId="48" applyProtection="0">
      <alignment horizontal="right"/>
    </xf>
    <xf numFmtId="2" fontId="192" fillId="76" borderId="48" applyProtection="0">
      <alignment horizontal="right"/>
    </xf>
    <xf numFmtId="14" fontId="193" fillId="77" borderId="48" applyProtection="0">
      <alignment horizontal="right"/>
    </xf>
    <xf numFmtId="14" fontId="193" fillId="77" borderId="48" applyProtection="0">
      <alignment horizontal="right"/>
    </xf>
    <xf numFmtId="14" fontId="193" fillId="77" borderId="48" applyProtection="0">
      <alignment horizontal="left"/>
    </xf>
    <xf numFmtId="14" fontId="193" fillId="77" borderId="48" applyProtection="0">
      <alignment horizontal="left"/>
    </xf>
    <xf numFmtId="0" fontId="194" fillId="74" borderId="48" applyNumberFormat="0" applyProtection="0">
      <alignment horizontal="left"/>
    </xf>
    <xf numFmtId="0" fontId="194" fillId="74" borderId="48" applyNumberFormat="0" applyProtection="0">
      <alignment horizontal="left"/>
    </xf>
    <xf numFmtId="2" fontId="193" fillId="74" borderId="48" applyProtection="0"/>
    <xf numFmtId="2" fontId="193" fillId="74" borderId="48" applyProtection="0"/>
    <xf numFmtId="2" fontId="193" fillId="74" borderId="48" applyProtection="0"/>
    <xf numFmtId="2" fontId="193" fillId="74" borderId="48" applyProtection="0"/>
    <xf numFmtId="2" fontId="121" fillId="0" borderId="0" applyFill="0" applyBorder="0" applyProtection="0"/>
    <xf numFmtId="2" fontId="121" fillId="0" borderId="0" applyFill="0" applyBorder="0" applyProtection="0"/>
    <xf numFmtId="2" fontId="192" fillId="0" borderId="0" applyFill="0" applyBorder="0" applyProtection="0"/>
    <xf numFmtId="2" fontId="192" fillId="0" borderId="0" applyFill="0" applyBorder="0" applyProtection="0"/>
    <xf numFmtId="2" fontId="192" fillId="75" borderId="48" applyProtection="0"/>
    <xf numFmtId="2" fontId="192" fillId="75" borderId="48" applyProtection="0"/>
    <xf numFmtId="2" fontId="192" fillId="78" borderId="48" applyProtection="0"/>
    <xf numFmtId="2" fontId="192" fillId="78" borderId="48" applyProtection="0"/>
    <xf numFmtId="2" fontId="192" fillId="76" borderId="48" applyProtection="0"/>
    <xf numFmtId="2" fontId="192" fillId="76" borderId="48" applyProtection="0"/>
    <xf numFmtId="2" fontId="192" fillId="76" borderId="48" applyProtection="0">
      <alignment horizontal="center"/>
    </xf>
    <xf numFmtId="2" fontId="192" fillId="76" borderId="48" applyProtection="0">
      <alignment horizontal="center"/>
    </xf>
    <xf numFmtId="2" fontId="192" fillId="78" borderId="48" applyProtection="0">
      <alignment horizontal="center"/>
    </xf>
    <xf numFmtId="2" fontId="192" fillId="78" borderId="48" applyProtection="0">
      <alignment horizontal="center"/>
    </xf>
    <xf numFmtId="9" fontId="17" fillId="0" borderId="0" applyFont="0" applyFill="0" applyBorder="0" applyAlignment="0" applyProtection="0"/>
    <xf numFmtId="0" fontId="191" fillId="74" borderId="48" applyNumberFormat="0" applyAlignment="0" applyProtection="0"/>
    <xf numFmtId="2" fontId="191" fillId="75" borderId="48" applyProtection="0">
      <alignment horizontal="right"/>
    </xf>
    <xf numFmtId="2" fontId="192" fillId="76" borderId="48" applyProtection="0">
      <alignment horizontal="right"/>
    </xf>
    <xf numFmtId="14" fontId="193" fillId="77" borderId="48" applyProtection="0">
      <alignment horizontal="right"/>
    </xf>
    <xf numFmtId="14" fontId="193" fillId="77" borderId="48" applyProtection="0">
      <alignment horizontal="left"/>
    </xf>
    <xf numFmtId="0" fontId="194" fillId="74" borderId="48" applyNumberFormat="0" applyProtection="0">
      <alignment horizontal="left"/>
    </xf>
    <xf numFmtId="2" fontId="193" fillId="74" borderId="48" applyProtection="0"/>
    <xf numFmtId="2" fontId="193" fillId="74" borderId="48" applyProtection="0"/>
    <xf numFmtId="2" fontId="121" fillId="0" borderId="0" applyFill="0" applyBorder="0" applyProtection="0"/>
    <xf numFmtId="2" fontId="192" fillId="0" borderId="0" applyFill="0" applyBorder="0" applyProtection="0"/>
    <xf numFmtId="2" fontId="192" fillId="75" borderId="48" applyProtection="0"/>
    <xf numFmtId="2" fontId="192" fillId="78" borderId="48" applyProtection="0"/>
    <xf numFmtId="2" fontId="192" fillId="76" borderId="48" applyProtection="0"/>
    <xf numFmtId="2" fontId="192" fillId="76" borderId="48" applyProtection="0">
      <alignment horizontal="center"/>
    </xf>
    <xf numFmtId="2" fontId="192" fillId="78" borderId="48" applyProtection="0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3" fontId="17" fillId="0" borderId="0" applyFont="0" applyFill="0" applyBorder="0" applyAlignment="0" applyProtection="0"/>
    <xf numFmtId="0" fontId="195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1" fontId="17" fillId="0" borderId="0"/>
    <xf numFmtId="0" fontId="19" fillId="0" borderId="0"/>
    <xf numFmtId="0" fontId="1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6" applyNumberFormat="0" applyFill="0" applyAlignment="0" applyProtection="0"/>
    <xf numFmtId="0" fontId="108" fillId="0" borderId="7" applyNumberFormat="0" applyFill="0" applyAlignment="0" applyProtection="0"/>
    <xf numFmtId="0" fontId="109" fillId="0" borderId="8" applyNumberFormat="0" applyFill="0" applyAlignment="0" applyProtection="0"/>
    <xf numFmtId="0" fontId="109" fillId="0" borderId="0" applyNumberFormat="0" applyFill="0" applyBorder="0" applyAlignment="0" applyProtection="0"/>
    <xf numFmtId="0" fontId="76" fillId="11" borderId="9" applyNumberFormat="0" applyAlignment="0" applyProtection="0"/>
    <xf numFmtId="0" fontId="110" fillId="12" borderId="10" applyNumberFormat="0" applyAlignment="0" applyProtection="0"/>
    <xf numFmtId="0" fontId="111" fillId="12" borderId="9" applyNumberFormat="0" applyAlignment="0" applyProtection="0"/>
    <xf numFmtId="0" fontId="112" fillId="0" borderId="11" applyNumberFormat="0" applyFill="0" applyAlignment="0" applyProtection="0"/>
    <xf numFmtId="0" fontId="53" fillId="13" borderId="12" applyNumberFormat="0" applyAlignment="0" applyProtection="0"/>
    <xf numFmtId="0" fontId="10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1" fillId="0" borderId="14" applyNumberFormat="0" applyFill="0" applyAlignment="0" applyProtection="0"/>
    <xf numFmtId="0" fontId="4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6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6" fillId="38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7" fillId="40" borderId="0" applyNumberFormat="0" applyBorder="0" applyAlignment="0" applyProtection="0"/>
    <xf numFmtId="0" fontId="55" fillId="58" borderId="16" applyNumberFormat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66" fillId="0" borderId="17" applyNumberFormat="0" applyFill="0" applyAlignment="0" applyProtection="0"/>
    <xf numFmtId="0" fontId="69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83" fillId="59" borderId="0" applyNumberFormat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1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1" fillId="58" borderId="16" applyNumberFormat="0" applyAlignment="0" applyProtection="0"/>
    <xf numFmtId="44" fontId="17" fillId="0" borderId="0" applyFont="0" applyFill="0" applyBorder="0" applyAlignment="0" applyProtection="0"/>
    <xf numFmtId="0" fontId="148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5" fillId="0" borderId="0"/>
    <xf numFmtId="187" fontId="32" fillId="0" borderId="0"/>
    <xf numFmtId="0" fontId="100" fillId="0" borderId="0"/>
    <xf numFmtId="0" fontId="172" fillId="57" borderId="22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18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147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0" fillId="0" borderId="0" applyFont="0" applyFill="0" applyBorder="0" applyAlignment="0" applyProtection="0"/>
    <xf numFmtId="0" fontId="5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5" fillId="33" borderId="0" applyNumberFormat="0" applyBorder="0" applyAlignment="0" applyProtection="0"/>
    <xf numFmtId="0" fontId="133" fillId="0" borderId="0"/>
    <xf numFmtId="0" fontId="5" fillId="0" borderId="0"/>
    <xf numFmtId="0" fontId="5" fillId="0" borderId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40" fillId="0" borderId="0"/>
    <xf numFmtId="0" fontId="5" fillId="0" borderId="0"/>
    <xf numFmtId="0" fontId="133" fillId="0" borderId="0"/>
    <xf numFmtId="0" fontId="22" fillId="0" borderId="0"/>
    <xf numFmtId="0" fontId="40" fillId="0" borderId="0"/>
    <xf numFmtId="0" fontId="5" fillId="0" borderId="0"/>
    <xf numFmtId="0" fontId="40" fillId="0" borderId="0"/>
    <xf numFmtId="0" fontId="32" fillId="0" borderId="0"/>
    <xf numFmtId="187" fontId="32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40" fillId="0" borderId="0"/>
    <xf numFmtId="0" fontId="22" fillId="0" borderId="0"/>
    <xf numFmtId="0" fontId="5" fillId="16" borderId="0" applyNumberFormat="0" applyBorder="0" applyAlignment="0" applyProtection="0"/>
    <xf numFmtId="0" fontId="32" fillId="0" borderId="0"/>
    <xf numFmtId="0" fontId="5" fillId="0" borderId="0"/>
    <xf numFmtId="0" fontId="5" fillId="0" borderId="0"/>
    <xf numFmtId="0" fontId="124" fillId="40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0" fontId="40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41" borderId="0" applyNumberFormat="0" applyBorder="0" applyAlignment="0" applyProtection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133" fillId="0" borderId="0"/>
    <xf numFmtId="0" fontId="132" fillId="0" borderId="0" applyFont="0" applyFill="0" applyBorder="0" applyAlignment="0" applyProtection="0">
      <alignment horizontal="right"/>
    </xf>
    <xf numFmtId="0" fontId="5" fillId="0" borderId="0"/>
    <xf numFmtId="0" fontId="5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4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4" borderId="13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9" fontId="5" fillId="0" borderId="0" applyFont="0" applyFill="0" applyBorder="0" applyAlignment="0" applyProtection="0"/>
    <xf numFmtId="0" fontId="138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8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2" fillId="0" borderId="0" applyFont="0" applyFill="0" applyBorder="0" applyAlignment="0" applyProtection="0">
      <alignment horizontal="right"/>
    </xf>
    <xf numFmtId="0" fontId="164" fillId="44" borderId="15" applyNumberFormat="0" applyAlignment="0" applyProtection="0"/>
    <xf numFmtId="0" fontId="164" fillId="44" borderId="15" applyNumberFormat="0" applyAlignment="0" applyProtection="0"/>
    <xf numFmtId="0" fontId="164" fillId="44" borderId="15" applyNumberFormat="0" applyAlignment="0" applyProtection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22" fillId="0" borderId="0" applyFont="0" applyFill="0" applyBorder="0" applyAlignment="0" applyProtection="0"/>
  </cellStyleXfs>
  <cellXfs count="938">
    <xf numFmtId="0" fontId="0" fillId="0" borderId="0" xfId="0"/>
    <xf numFmtId="0" fontId="23" fillId="3" borderId="0" xfId="53" applyFont="1" applyFill="1"/>
    <xf numFmtId="0" fontId="23" fillId="3" borderId="0" xfId="53" applyFont="1" applyFill="1" applyAlignment="1">
      <alignment vertical="top"/>
    </xf>
    <xf numFmtId="0" fontId="23" fillId="3" borderId="0" xfId="53" applyFont="1" applyFill="1" applyAlignment="1"/>
    <xf numFmtId="171" fontId="23" fillId="3" borderId="0" xfId="48" applyFont="1" applyFill="1"/>
    <xf numFmtId="2" fontId="23" fillId="3" borderId="0" xfId="53" applyNumberFormat="1" applyFont="1" applyFill="1" applyAlignment="1">
      <alignment horizontal="center"/>
    </xf>
    <xf numFmtId="1" fontId="23" fillId="3" borderId="0" xfId="53" applyNumberFormat="1" applyFont="1" applyFill="1" applyAlignment="1">
      <alignment horizontal="right"/>
    </xf>
    <xf numFmtId="1" fontId="23" fillId="3" borderId="0" xfId="53" applyNumberFormat="1" applyFont="1" applyFill="1"/>
    <xf numFmtId="166" fontId="23" fillId="3" borderId="0" xfId="53" applyNumberFormat="1" applyFont="1" applyFill="1"/>
    <xf numFmtId="169" fontId="23" fillId="3" borderId="0" xfId="53" applyNumberFormat="1" applyFont="1" applyFill="1"/>
    <xf numFmtId="0" fontId="197" fillId="0" borderId="0" xfId="0" applyFont="1" applyAlignment="1">
      <alignment horizontal="center"/>
    </xf>
    <xf numFmtId="0" fontId="197" fillId="0" borderId="0" xfId="0" applyFont="1"/>
    <xf numFmtId="0" fontId="198" fillId="0" borderId="0" xfId="0" applyFont="1" applyAlignment="1">
      <alignment horizontal="center"/>
    </xf>
    <xf numFmtId="0" fontId="199" fillId="0" borderId="0" xfId="0" applyFont="1" applyAlignment="1">
      <alignment horizontal="center"/>
    </xf>
    <xf numFmtId="0" fontId="200" fillId="3" borderId="0" xfId="52" applyFont="1" applyFill="1"/>
    <xf numFmtId="1" fontId="199" fillId="3" borderId="0" xfId="55" applyNumberFormat="1" applyFont="1" applyFill="1" applyAlignment="1">
      <alignment horizontal="center"/>
    </xf>
    <xf numFmtId="0" fontId="199" fillId="3" borderId="0" xfId="55" applyFont="1" applyFill="1"/>
    <xf numFmtId="0" fontId="197" fillId="3" borderId="0" xfId="55" applyFont="1" applyFill="1"/>
    <xf numFmtId="1" fontId="197" fillId="3" borderId="0" xfId="55" applyNumberFormat="1" applyFont="1" applyFill="1"/>
    <xf numFmtId="167" fontId="197" fillId="3" borderId="0" xfId="55" applyNumberFormat="1" applyFont="1" applyFill="1"/>
    <xf numFmtId="165" fontId="199" fillId="3" borderId="0" xfId="61" applyNumberFormat="1" applyFont="1" applyFill="1"/>
    <xf numFmtId="0" fontId="199" fillId="3" borderId="0" xfId="55" applyFont="1" applyFill="1" applyAlignment="1">
      <alignment horizontal="center"/>
    </xf>
    <xf numFmtId="1" fontId="199" fillId="3" borderId="2" xfId="55" applyNumberFormat="1" applyFont="1" applyFill="1" applyBorder="1" applyAlignment="1">
      <alignment horizontal="center"/>
    </xf>
    <xf numFmtId="0" fontId="199" fillId="3" borderId="2" xfId="55" applyFont="1" applyFill="1" applyBorder="1" applyAlignment="1">
      <alignment horizontal="center"/>
    </xf>
    <xf numFmtId="1" fontId="199" fillId="3" borderId="0" xfId="55" applyNumberFormat="1" applyFont="1" applyFill="1" applyBorder="1" applyAlignment="1">
      <alignment horizontal="left"/>
    </xf>
    <xf numFmtId="164" fontId="204" fillId="3" borderId="0" xfId="61" applyNumberFormat="1" applyFont="1" applyFill="1" applyBorder="1"/>
    <xf numFmtId="1" fontId="199" fillId="3" borderId="0" xfId="55" applyNumberFormat="1" applyFont="1" applyFill="1" applyAlignment="1">
      <alignment horizontal="left"/>
    </xf>
    <xf numFmtId="41" fontId="204" fillId="3" borderId="0" xfId="1" applyNumberFormat="1" applyFont="1" applyFill="1" applyAlignment="1">
      <alignment horizontal="right"/>
    </xf>
    <xf numFmtId="0" fontId="197" fillId="3" borderId="0" xfId="55" applyFont="1" applyFill="1" applyBorder="1"/>
    <xf numFmtId="1" fontId="199" fillId="3" borderId="0" xfId="55" applyNumberFormat="1" applyFont="1" applyFill="1" applyAlignment="1">
      <alignment horizontal="left" indent="1"/>
    </xf>
    <xf numFmtId="10" fontId="197" fillId="3" borderId="0" xfId="61" applyNumberFormat="1" applyFont="1" applyFill="1" applyBorder="1"/>
    <xf numFmtId="10" fontId="199" fillId="3" borderId="0" xfId="61" applyNumberFormat="1" applyFont="1" applyFill="1" applyBorder="1"/>
    <xf numFmtId="1" fontId="197" fillId="3" borderId="0" xfId="55" applyNumberFormat="1" applyFont="1" applyFill="1" applyAlignment="1">
      <alignment horizontal="left" indent="2"/>
    </xf>
    <xf numFmtId="1" fontId="199" fillId="3" borderId="0" xfId="55" applyNumberFormat="1" applyFont="1" applyFill="1"/>
    <xf numFmtId="0" fontId="197" fillId="3" borderId="0" xfId="55" applyFont="1" applyFill="1" applyAlignment="1">
      <alignment horizontal="left"/>
    </xf>
    <xf numFmtId="164" fontId="197" fillId="3" borderId="0" xfId="55" applyNumberFormat="1" applyFont="1" applyFill="1" applyAlignment="1">
      <alignment horizontal="right"/>
    </xf>
    <xf numFmtId="164" fontId="205" fillId="3" borderId="0" xfId="1" applyNumberFormat="1" applyFont="1" applyFill="1"/>
    <xf numFmtId="10" fontId="197" fillId="3" borderId="0" xfId="55" applyNumberFormat="1" applyFont="1" applyFill="1" applyAlignment="1">
      <alignment horizontal="right"/>
    </xf>
    <xf numFmtId="10" fontId="197" fillId="3" borderId="0" xfId="61" applyNumberFormat="1" applyFont="1" applyFill="1"/>
    <xf numFmtId="1" fontId="197" fillId="3" borderId="0" xfId="55" applyNumberFormat="1" applyFont="1" applyFill="1" applyAlignment="1">
      <alignment horizontal="left"/>
    </xf>
    <xf numFmtId="10" fontId="199" fillId="3" borderId="0" xfId="61" applyNumberFormat="1" applyFont="1" applyFill="1"/>
    <xf numFmtId="178" fontId="199" fillId="3" borderId="0" xfId="1" applyNumberFormat="1" applyFont="1" applyFill="1"/>
    <xf numFmtId="167" fontId="197" fillId="3" borderId="0" xfId="55" applyNumberFormat="1" applyFont="1" applyFill="1" applyAlignment="1">
      <alignment horizontal="left" indent="1"/>
    </xf>
    <xf numFmtId="0" fontId="197" fillId="3" borderId="0" xfId="52" applyFont="1" applyFill="1"/>
    <xf numFmtId="0" fontId="197" fillId="3" borderId="0" xfId="55" applyFont="1" applyFill="1" applyAlignment="1">
      <alignment vertical="top"/>
    </xf>
    <xf numFmtId="0" fontId="197" fillId="3" borderId="0" xfId="50" applyFont="1" applyFill="1" applyBorder="1"/>
    <xf numFmtId="164" fontId="197" fillId="3" borderId="0" xfId="55" applyNumberFormat="1" applyFont="1" applyFill="1"/>
    <xf numFmtId="0" fontId="199" fillId="3" borderId="0" xfId="55" applyFont="1" applyFill="1" applyAlignment="1"/>
    <xf numFmtId="0" fontId="207" fillId="3" borderId="0" xfId="55" applyFont="1" applyFill="1"/>
    <xf numFmtId="0" fontId="201" fillId="3" borderId="0" xfId="51" applyFont="1" applyFill="1"/>
    <xf numFmtId="0" fontId="201" fillId="3" borderId="0" xfId="51" applyFont="1" applyFill="1" applyBorder="1"/>
    <xf numFmtId="1" fontId="201" fillId="3" borderId="0" xfId="51" applyNumberFormat="1" applyFont="1" applyFill="1" applyAlignment="1">
      <alignment horizontal="center"/>
    </xf>
    <xf numFmtId="0" fontId="201" fillId="3" borderId="0" xfId="51" applyNumberFormat="1" applyFont="1" applyFill="1"/>
    <xf numFmtId="1" fontId="201" fillId="3" borderId="0" xfId="51" applyNumberFormat="1" applyFont="1" applyFill="1" applyBorder="1"/>
    <xf numFmtId="1" fontId="201" fillId="3" borderId="0" xfId="51" applyNumberFormat="1" applyFont="1" applyFill="1"/>
    <xf numFmtId="1" fontId="202" fillId="3" borderId="0" xfId="51" applyNumberFormat="1" applyFont="1" applyFill="1" applyBorder="1" applyAlignment="1">
      <alignment horizontal="center"/>
    </xf>
    <xf numFmtId="164" fontId="201" fillId="3" borderId="0" xfId="1" applyNumberFormat="1" applyFont="1" applyFill="1" applyBorder="1"/>
    <xf numFmtId="0" fontId="197" fillId="3" borderId="0" xfId="51" applyFont="1" applyFill="1"/>
    <xf numFmtId="3" fontId="197" fillId="3" borderId="0" xfId="51" applyNumberFormat="1" applyFont="1" applyFill="1"/>
    <xf numFmtId="3" fontId="197" fillId="3" borderId="0" xfId="51" applyNumberFormat="1" applyFont="1" applyFill="1" applyBorder="1"/>
    <xf numFmtId="0" fontId="199" fillId="3" borderId="0" xfId="51" applyFont="1" applyFill="1"/>
    <xf numFmtId="0" fontId="197" fillId="3" borderId="0" xfId="51" applyFont="1" applyFill="1" applyBorder="1"/>
    <xf numFmtId="1" fontId="197" fillId="3" borderId="0" xfId="51" applyNumberFormat="1" applyFont="1" applyFill="1" applyAlignment="1">
      <alignment horizontal="center"/>
    </xf>
    <xf numFmtId="0" fontId="199" fillId="3" borderId="0" xfId="51" applyNumberFormat="1" applyFont="1" applyFill="1"/>
    <xf numFmtId="1" fontId="209" fillId="3" borderId="0" xfId="51" applyNumberFormat="1" applyFont="1" applyFill="1" applyBorder="1"/>
    <xf numFmtId="0" fontId="197" fillId="3" borderId="0" xfId="51" applyNumberFormat="1" applyFont="1" applyFill="1"/>
    <xf numFmtId="1" fontId="197" fillId="3" borderId="0" xfId="51" applyNumberFormat="1" applyFont="1" applyFill="1" applyBorder="1"/>
    <xf numFmtId="1" fontId="199" fillId="3" borderId="0" xfId="51" applyNumberFormat="1" applyFont="1" applyFill="1" applyBorder="1"/>
    <xf numFmtId="0" fontId="197" fillId="3" borderId="0" xfId="51" applyNumberFormat="1" applyFont="1" applyFill="1" applyAlignment="1">
      <alignment horizontal="center"/>
    </xf>
    <xf numFmtId="0" fontId="199" fillId="3" borderId="0" xfId="51" applyNumberFormat="1" applyFont="1" applyFill="1" applyAlignment="1">
      <alignment horizontal="left"/>
    </xf>
    <xf numFmtId="1" fontId="210" fillId="3" borderId="0" xfId="51" applyNumberFormat="1" applyFont="1" applyFill="1" applyBorder="1"/>
    <xf numFmtId="1" fontId="211" fillId="3" borderId="0" xfId="51" applyNumberFormat="1" applyFont="1" applyFill="1" applyBorder="1"/>
    <xf numFmtId="1" fontId="197" fillId="3" borderId="0" xfId="51" applyNumberFormat="1" applyFont="1" applyFill="1"/>
    <xf numFmtId="1" fontId="199" fillId="3" borderId="0" xfId="51" applyNumberFormat="1" applyFont="1" applyFill="1" applyBorder="1" applyAlignment="1">
      <alignment horizontal="center"/>
    </xf>
    <xf numFmtId="164" fontId="205" fillId="3" borderId="0" xfId="1" applyNumberFormat="1" applyFont="1" applyFill="1" applyBorder="1"/>
    <xf numFmtId="164" fontId="212" fillId="3" borderId="0" xfId="1" applyNumberFormat="1" applyFont="1" applyFill="1" applyBorder="1"/>
    <xf numFmtId="10" fontId="197" fillId="3" borderId="0" xfId="1" applyNumberFormat="1" applyFont="1" applyFill="1" applyBorder="1"/>
    <xf numFmtId="164" fontId="197" fillId="3" borderId="0" xfId="1" applyNumberFormat="1" applyFont="1" applyFill="1" applyBorder="1"/>
    <xf numFmtId="0" fontId="201" fillId="3" borderId="0" xfId="60" applyNumberFormat="1" applyFont="1" applyFill="1"/>
    <xf numFmtId="0" fontId="201" fillId="3" borderId="0" xfId="60" applyNumberFormat="1" applyFont="1" applyFill="1" applyBorder="1"/>
    <xf numFmtId="164" fontId="201" fillId="3" borderId="0" xfId="1" applyNumberFormat="1" applyFont="1" applyFill="1"/>
    <xf numFmtId="0" fontId="197" fillId="3" borderId="0" xfId="60" applyFont="1" applyFill="1"/>
    <xf numFmtId="0" fontId="213" fillId="3" borderId="0" xfId="52" applyFont="1" applyFill="1"/>
    <xf numFmtId="3" fontId="197" fillId="3" borderId="0" xfId="52" applyNumberFormat="1" applyFont="1" applyFill="1"/>
    <xf numFmtId="9" fontId="197" fillId="3" borderId="0" xfId="61" applyFont="1" applyFill="1"/>
    <xf numFmtId="1" fontId="197" fillId="3" borderId="0" xfId="60" applyNumberFormat="1" applyFont="1" applyFill="1"/>
    <xf numFmtId="0" fontId="197" fillId="3" borderId="0" xfId="60" applyNumberFormat="1" applyFont="1" applyFill="1"/>
    <xf numFmtId="1" fontId="197" fillId="3" borderId="0" xfId="60" applyNumberFormat="1" applyFont="1" applyFill="1" applyAlignment="1">
      <alignment horizontal="center"/>
    </xf>
    <xf numFmtId="3" fontId="197" fillId="3" borderId="0" xfId="60" applyNumberFormat="1" applyFont="1" applyFill="1"/>
    <xf numFmtId="3" fontId="199" fillId="3" borderId="0" xfId="60" applyNumberFormat="1" applyFont="1" applyFill="1"/>
    <xf numFmtId="9" fontId="199" fillId="3" borderId="0" xfId="61" applyFont="1" applyFill="1"/>
    <xf numFmtId="0" fontId="199" fillId="3" borderId="0" xfId="60" applyFont="1" applyFill="1"/>
    <xf numFmtId="1" fontId="197" fillId="3" borderId="0" xfId="60" applyNumberFormat="1" applyFont="1" applyFill="1" applyBorder="1"/>
    <xf numFmtId="0" fontId="197" fillId="3" borderId="0" xfId="60" applyNumberFormat="1" applyFont="1" applyFill="1" applyBorder="1"/>
    <xf numFmtId="1" fontId="197" fillId="3" borderId="0" xfId="60" applyNumberFormat="1" applyFont="1" applyFill="1" applyBorder="1" applyAlignment="1">
      <alignment horizontal="center"/>
    </xf>
    <xf numFmtId="0" fontId="197" fillId="3" borderId="0" xfId="60" applyFont="1" applyFill="1" applyBorder="1"/>
    <xf numFmtId="2" fontId="197" fillId="3" borderId="0" xfId="60" applyNumberFormat="1" applyFont="1" applyFill="1" applyBorder="1"/>
    <xf numFmtId="3" fontId="197" fillId="3" borderId="0" xfId="60" applyNumberFormat="1" applyFont="1" applyFill="1" applyBorder="1"/>
    <xf numFmtId="0" fontId="199" fillId="3" borderId="0" xfId="60" applyFont="1" applyFill="1" applyBorder="1"/>
    <xf numFmtId="0" fontId="199" fillId="3" borderId="0" xfId="60" applyNumberFormat="1" applyFont="1" applyFill="1" applyBorder="1"/>
    <xf numFmtId="1" fontId="199" fillId="3" borderId="0" xfId="60" applyNumberFormat="1" applyFont="1" applyFill="1" applyBorder="1" applyAlignment="1">
      <alignment horizontal="right"/>
    </xf>
    <xf numFmtId="0" fontId="199" fillId="3" borderId="0" xfId="60" applyFont="1" applyFill="1" applyBorder="1" applyAlignment="1">
      <alignment horizontal="right"/>
    </xf>
    <xf numFmtId="3" fontId="206" fillId="3" borderId="0" xfId="60" applyNumberFormat="1" applyFont="1" applyFill="1" applyBorder="1"/>
    <xf numFmtId="3" fontId="199" fillId="3" borderId="0" xfId="60" applyNumberFormat="1" applyFont="1" applyFill="1" applyBorder="1"/>
    <xf numFmtId="0" fontId="197" fillId="3" borderId="0" xfId="60" applyNumberFormat="1" applyFont="1" applyFill="1" applyBorder="1" applyAlignment="1">
      <alignment horizontal="left" indent="1"/>
    </xf>
    <xf numFmtId="3" fontId="205" fillId="3" borderId="0" xfId="60" applyNumberFormat="1" applyFont="1" applyFill="1" applyBorder="1"/>
    <xf numFmtId="0" fontId="199" fillId="3" borderId="0" xfId="60" applyNumberFormat="1" applyFont="1" applyFill="1" applyBorder="1" applyAlignment="1">
      <alignment horizontal="left" indent="1"/>
    </xf>
    <xf numFmtId="0" fontId="199" fillId="3" borderId="0" xfId="60" applyNumberFormat="1" applyFont="1" applyFill="1" applyBorder="1" applyAlignment="1">
      <alignment horizontal="left"/>
    </xf>
    <xf numFmtId="0" fontId="197" fillId="3" borderId="0" xfId="60" applyFont="1" applyFill="1" applyBorder="1" applyAlignment="1">
      <alignment horizontal="right"/>
    </xf>
    <xf numFmtId="1" fontId="199" fillId="3" borderId="0" xfId="60" applyNumberFormat="1" applyFont="1" applyFill="1" applyBorder="1" applyAlignment="1">
      <alignment horizontal="center"/>
    </xf>
    <xf numFmtId="164" fontId="199" fillId="3" borderId="0" xfId="1" applyNumberFormat="1" applyFont="1" applyFill="1" applyBorder="1"/>
    <xf numFmtId="1" fontId="199" fillId="3" borderId="0" xfId="60" applyNumberFormat="1" applyFont="1" applyFill="1" applyBorder="1"/>
    <xf numFmtId="164" fontId="197" fillId="3" borderId="0" xfId="60" applyNumberFormat="1" applyFont="1" applyFill="1" applyBorder="1"/>
    <xf numFmtId="164" fontId="197" fillId="3" borderId="0" xfId="1" applyNumberFormat="1" applyFont="1" applyFill="1"/>
    <xf numFmtId="0" fontId="201" fillId="3" borderId="0" xfId="52" applyFont="1" applyFill="1"/>
    <xf numFmtId="0" fontId="201" fillId="3" borderId="0" xfId="0" applyFont="1" applyFill="1"/>
    <xf numFmtId="0" fontId="197" fillId="3" borderId="0" xfId="0" applyFont="1" applyFill="1"/>
    <xf numFmtId="3" fontId="197" fillId="3" borderId="0" xfId="0" applyNumberFormat="1" applyFont="1" applyFill="1"/>
    <xf numFmtId="4" fontId="197" fillId="3" borderId="0" xfId="60" applyNumberFormat="1" applyFont="1" applyFill="1"/>
    <xf numFmtId="1" fontId="197" fillId="3" borderId="0" xfId="52" applyNumberFormat="1" applyFont="1" applyFill="1"/>
    <xf numFmtId="1" fontId="197" fillId="3" borderId="0" xfId="60" applyNumberFormat="1" applyFont="1" applyFill="1" applyBorder="1" applyAlignment="1"/>
    <xf numFmtId="1" fontId="206" fillId="3" borderId="0" xfId="60" applyNumberFormat="1" applyFont="1" applyFill="1" applyBorder="1" applyAlignment="1">
      <alignment horizontal="center"/>
    </xf>
    <xf numFmtId="0" fontId="206" fillId="3" borderId="0" xfId="60" applyFont="1" applyFill="1" applyBorder="1" applyAlignment="1">
      <alignment horizontal="center"/>
    </xf>
    <xf numFmtId="0" fontId="197" fillId="3" borderId="0" xfId="0" applyFont="1" applyFill="1" applyBorder="1"/>
    <xf numFmtId="0" fontId="197" fillId="3" borderId="0" xfId="60" applyFont="1" applyFill="1" applyBorder="1" applyAlignment="1">
      <alignment horizontal="center"/>
    </xf>
    <xf numFmtId="0" fontId="199" fillId="3" borderId="0" xfId="60" applyFont="1" applyFill="1" applyBorder="1" applyAlignment="1">
      <alignment horizontal="center"/>
    </xf>
    <xf numFmtId="167" fontId="197" fillId="3" borderId="0" xfId="60" applyNumberFormat="1" applyFont="1" applyFill="1" applyBorder="1" applyAlignment="1">
      <alignment horizontal="left"/>
    </xf>
    <xf numFmtId="3" fontId="206" fillId="3" borderId="0" xfId="60" applyNumberFormat="1" applyFont="1" applyFill="1" applyBorder="1" applyAlignment="1">
      <alignment horizontal="center"/>
    </xf>
    <xf numFmtId="3" fontId="197" fillId="3" borderId="0" xfId="60" applyNumberFormat="1" applyFont="1" applyFill="1" applyBorder="1" applyAlignment="1">
      <alignment horizontal="center"/>
    </xf>
    <xf numFmtId="167" fontId="197" fillId="3" borderId="0" xfId="60" applyNumberFormat="1" applyFont="1" applyFill="1" applyBorder="1" applyAlignment="1"/>
    <xf numFmtId="167" fontId="197" fillId="3" borderId="0" xfId="60" applyNumberFormat="1" applyFont="1" applyFill="1" applyBorder="1" applyAlignment="1">
      <alignment horizontal="left" indent="1"/>
    </xf>
    <xf numFmtId="2" fontId="197" fillId="3" borderId="0" xfId="60" applyNumberFormat="1" applyFont="1" applyFill="1"/>
    <xf numFmtId="1" fontId="197" fillId="3" borderId="0" xfId="60" applyNumberFormat="1" applyFont="1" applyFill="1" applyAlignment="1"/>
    <xf numFmtId="0" fontId="197" fillId="3" borderId="0" xfId="60" applyFont="1" applyFill="1" applyAlignment="1">
      <alignment horizontal="center"/>
    </xf>
    <xf numFmtId="0" fontId="214" fillId="3" borderId="0" xfId="52" applyFont="1" applyFill="1"/>
    <xf numFmtId="164" fontId="200" fillId="3" borderId="0" xfId="1" applyNumberFormat="1" applyFont="1" applyFill="1"/>
    <xf numFmtId="164" fontId="202" fillId="3" borderId="0" xfId="1" applyNumberFormat="1" applyFont="1" applyFill="1" applyAlignment="1">
      <alignment horizontal="center"/>
    </xf>
    <xf numFmtId="0" fontId="202" fillId="3" borderId="0" xfId="51" applyFont="1" applyFill="1" applyAlignment="1">
      <alignment horizontal="center"/>
    </xf>
    <xf numFmtId="179" fontId="201" fillId="3" borderId="0" xfId="1" applyNumberFormat="1" applyFont="1" applyFill="1"/>
    <xf numFmtId="2" fontId="201" fillId="3" borderId="0" xfId="51" applyNumberFormat="1" applyFont="1" applyFill="1"/>
    <xf numFmtId="1" fontId="202" fillId="3" borderId="0" xfId="51" applyNumberFormat="1" applyFont="1" applyFill="1"/>
    <xf numFmtId="1" fontId="201" fillId="3" borderId="0" xfId="51" applyNumberFormat="1" applyFont="1" applyFill="1" applyBorder="1" applyAlignment="1"/>
    <xf numFmtId="168" fontId="201" fillId="3" borderId="0" xfId="51" applyNumberFormat="1" applyFont="1" applyFill="1" applyBorder="1"/>
    <xf numFmtId="1" fontId="201" fillId="3" borderId="0" xfId="51" applyNumberFormat="1" applyFont="1" applyFill="1" applyAlignment="1"/>
    <xf numFmtId="2" fontId="201" fillId="3" borderId="0" xfId="51" applyNumberFormat="1" applyFont="1" applyFill="1" applyBorder="1"/>
    <xf numFmtId="0" fontId="202" fillId="3" borderId="0" xfId="60" applyFont="1" applyFill="1" applyAlignment="1">
      <alignment horizontal="center"/>
    </xf>
    <xf numFmtId="0" fontId="201" fillId="3" borderId="0" xfId="57" applyFont="1" applyFill="1"/>
    <xf numFmtId="167" fontId="201" fillId="3" borderId="0" xfId="51" applyNumberFormat="1" applyFont="1" applyFill="1"/>
    <xf numFmtId="0" fontId="202" fillId="3" borderId="0" xfId="51" applyFont="1" applyFill="1" applyBorder="1"/>
    <xf numFmtId="182" fontId="201" fillId="3" borderId="0" xfId="51" applyNumberFormat="1" applyFont="1" applyFill="1"/>
    <xf numFmtId="41" fontId="201" fillId="3" borderId="0" xfId="51" applyNumberFormat="1" applyFont="1" applyFill="1"/>
    <xf numFmtId="0" fontId="201" fillId="7" borderId="0" xfId="51" applyFont="1" applyFill="1"/>
    <xf numFmtId="0" fontId="216" fillId="7" borderId="0" xfId="51" applyFont="1" applyFill="1"/>
    <xf numFmtId="0" fontId="201" fillId="5" borderId="0" xfId="51" applyFont="1" applyFill="1"/>
    <xf numFmtId="182" fontId="201" fillId="7" borderId="0" xfId="51" applyNumberFormat="1" applyFont="1" applyFill="1"/>
    <xf numFmtId="169" fontId="201" fillId="7" borderId="0" xfId="51" applyNumberFormat="1" applyFont="1" applyFill="1"/>
    <xf numFmtId="2" fontId="201" fillId="3" borderId="0" xfId="0" applyNumberFormat="1" applyFont="1" applyFill="1"/>
    <xf numFmtId="0" fontId="202" fillId="3" borderId="0" xfId="0" applyFont="1" applyFill="1"/>
    <xf numFmtId="0" fontId="201" fillId="7" borderId="0" xfId="0" applyFont="1" applyFill="1"/>
    <xf numFmtId="2" fontId="203" fillId="6" borderId="0" xfId="0" applyNumberFormat="1" applyFont="1" applyFill="1"/>
    <xf numFmtId="0" fontId="201" fillId="3" borderId="0" xfId="51" applyNumberFormat="1" applyFont="1" applyFill="1" applyBorder="1"/>
    <xf numFmtId="0" fontId="201" fillId="3" borderId="0" xfId="51" applyNumberFormat="1" applyFont="1" applyFill="1" applyBorder="1" applyAlignment="1"/>
    <xf numFmtId="0" fontId="201" fillId="3" borderId="0" xfId="44" applyNumberFormat="1" applyFont="1" applyFill="1" applyBorder="1"/>
    <xf numFmtId="1" fontId="201" fillId="3" borderId="0" xfId="51" applyNumberFormat="1" applyFont="1" applyFill="1" applyBorder="1" applyAlignment="1">
      <alignment horizontal="center"/>
    </xf>
    <xf numFmtId="43" fontId="201" fillId="3" borderId="0" xfId="1" applyFont="1" applyFill="1" applyBorder="1"/>
    <xf numFmtId="171" fontId="201" fillId="3" borderId="0" xfId="45" applyFont="1" applyFill="1" applyBorder="1"/>
    <xf numFmtId="171" fontId="201" fillId="3" borderId="0" xfId="45" applyFont="1" applyFill="1"/>
    <xf numFmtId="167" fontId="201" fillId="3" borderId="0" xfId="60" applyNumberFormat="1" applyFont="1" applyFill="1"/>
    <xf numFmtId="171" fontId="201" fillId="3" borderId="0" xfId="46" applyFont="1" applyFill="1"/>
    <xf numFmtId="171" fontId="202" fillId="3" borderId="0" xfId="46" applyFont="1" applyFill="1"/>
    <xf numFmtId="170" fontId="202" fillId="3" borderId="0" xfId="46" applyNumberFormat="1" applyFont="1" applyFill="1"/>
    <xf numFmtId="175" fontId="201" fillId="3" borderId="0" xfId="46" applyNumberFormat="1" applyFont="1" applyFill="1"/>
    <xf numFmtId="3" fontId="201" fillId="3" borderId="0" xfId="52" applyNumberFormat="1" applyFont="1" applyFill="1"/>
    <xf numFmtId="171" fontId="201" fillId="3" borderId="0" xfId="46" applyFont="1" applyFill="1" applyAlignment="1">
      <alignment horizontal="center"/>
    </xf>
    <xf numFmtId="0" fontId="201" fillId="3" borderId="0" xfId="54" applyFont="1" applyFill="1"/>
    <xf numFmtId="164" fontId="201" fillId="7" borderId="0" xfId="6" applyNumberFormat="1" applyFont="1" applyFill="1"/>
    <xf numFmtId="3" fontId="201" fillId="7" borderId="0" xfId="0" applyNumberFormat="1" applyFont="1" applyFill="1"/>
    <xf numFmtId="0" fontId="201" fillId="7" borderId="0" xfId="0" applyFont="1" applyFill="1" applyAlignment="1">
      <alignment horizontal="right"/>
    </xf>
    <xf numFmtId="0" fontId="201" fillId="7" borderId="0" xfId="0" applyFont="1" applyFill="1" applyAlignment="1">
      <alignment horizontal="left"/>
    </xf>
    <xf numFmtId="1" fontId="201" fillId="7" borderId="0" xfId="1" applyNumberFormat="1" applyFont="1" applyFill="1" applyAlignment="1">
      <alignment horizontal="left"/>
    </xf>
    <xf numFmtId="164" fontId="201" fillId="7" borderId="0" xfId="1" applyNumberFormat="1" applyFont="1" applyFill="1" applyAlignment="1">
      <alignment horizontal="right"/>
    </xf>
    <xf numFmtId="164" fontId="201" fillId="7" borderId="0" xfId="1" applyNumberFormat="1" applyFont="1" applyFill="1"/>
    <xf numFmtId="3" fontId="201" fillId="7" borderId="0" xfId="0" applyNumberFormat="1" applyFont="1" applyFill="1" applyBorder="1"/>
    <xf numFmtId="0" fontId="197" fillId="3" borderId="0" xfId="55" applyFont="1" applyFill="1" applyAlignment="1">
      <alignment horizontal="left" indent="1"/>
    </xf>
    <xf numFmtId="0" fontId="197" fillId="3" borderId="0" xfId="55" quotePrefix="1" applyFont="1" applyFill="1" applyAlignment="1">
      <alignment horizontal="left" indent="1"/>
    </xf>
    <xf numFmtId="165" fontId="201" fillId="7" borderId="0" xfId="61" applyNumberFormat="1" applyFont="1" applyFill="1" applyBorder="1"/>
    <xf numFmtId="43" fontId="201" fillId="7" borderId="0" xfId="1" applyFont="1" applyFill="1"/>
    <xf numFmtId="2" fontId="201" fillId="7" borderId="0" xfId="51" applyNumberFormat="1" applyFont="1" applyFill="1" applyBorder="1"/>
    <xf numFmtId="1" fontId="201" fillId="7" borderId="0" xfId="51" applyNumberFormat="1" applyFont="1" applyFill="1" applyBorder="1"/>
    <xf numFmtId="0" fontId="201" fillId="3" borderId="0" xfId="51" applyFont="1" applyFill="1" applyAlignment="1">
      <alignment horizontal="left"/>
    </xf>
    <xf numFmtId="189" fontId="201" fillId="3" borderId="0" xfId="51" applyNumberFormat="1" applyFont="1" applyFill="1" applyAlignment="1">
      <alignment horizontal="left"/>
    </xf>
    <xf numFmtId="0" fontId="197" fillId="0" borderId="0" xfId="0" applyFont="1" applyAlignment="1">
      <alignment horizontal="center"/>
    </xf>
    <xf numFmtId="0" fontId="221" fillId="7" borderId="0" xfId="0" applyFont="1" applyFill="1"/>
    <xf numFmtId="0" fontId="199" fillId="0" borderId="0" xfId="0" applyFont="1"/>
    <xf numFmtId="0" fontId="208" fillId="0" borderId="0" xfId="0" applyFont="1"/>
    <xf numFmtId="0" fontId="214" fillId="0" borderId="0" xfId="0" applyFont="1"/>
    <xf numFmtId="0" fontId="198" fillId="0" borderId="0" xfId="0" applyFont="1" applyAlignment="1">
      <alignment horizontal="left"/>
    </xf>
    <xf numFmtId="0" fontId="196" fillId="0" borderId="0" xfId="0" applyFont="1" applyAlignment="1">
      <alignment horizontal="left"/>
    </xf>
    <xf numFmtId="41" fontId="224" fillId="3" borderId="0" xfId="5555" applyFont="1" applyFill="1"/>
    <xf numFmtId="14" fontId="214" fillId="0" borderId="0" xfId="0" applyNumberFormat="1" applyFont="1"/>
    <xf numFmtId="0" fontId="214" fillId="0" borderId="0" xfId="0" quotePrefix="1" applyFont="1"/>
    <xf numFmtId="166" fontId="201" fillId="3" borderId="0" xfId="51" applyNumberFormat="1" applyFont="1" applyFill="1"/>
    <xf numFmtId="169" fontId="201" fillId="3" borderId="0" xfId="51" applyNumberFormat="1" applyFont="1" applyFill="1"/>
    <xf numFmtId="0" fontId="197" fillId="7" borderId="0" xfId="55" applyFont="1" applyFill="1"/>
    <xf numFmtId="0" fontId="197" fillId="7" borderId="0" xfId="52" applyFont="1" applyFill="1"/>
    <xf numFmtId="0" fontId="23" fillId="7" borderId="0" xfId="53" applyFont="1" applyFill="1"/>
    <xf numFmtId="3" fontId="23" fillId="7" borderId="0" xfId="53" applyNumberFormat="1" applyFont="1" applyFill="1" applyAlignment="1">
      <alignment vertical="top"/>
    </xf>
    <xf numFmtId="0" fontId="23" fillId="7" borderId="0" xfId="53" applyFont="1" applyFill="1" applyAlignment="1">
      <alignment vertical="top"/>
    </xf>
    <xf numFmtId="164" fontId="23" fillId="7" borderId="0" xfId="53" applyNumberFormat="1" applyFont="1" applyFill="1"/>
    <xf numFmtId="173" fontId="23" fillId="7" borderId="0" xfId="53" applyNumberFormat="1" applyFont="1" applyFill="1"/>
    <xf numFmtId="3" fontId="23" fillId="7" borderId="0" xfId="53" applyNumberFormat="1" applyFont="1" applyFill="1"/>
    <xf numFmtId="170" fontId="23" fillId="7" borderId="0" xfId="53" applyNumberFormat="1" applyFont="1" applyFill="1"/>
    <xf numFmtId="43" fontId="23" fillId="7" borderId="0" xfId="53" applyNumberFormat="1" applyFont="1" applyFill="1"/>
    <xf numFmtId="0" fontId="23" fillId="7" borderId="0" xfId="53" applyFont="1" applyFill="1" applyAlignment="1"/>
    <xf numFmtId="3" fontId="23" fillId="7" borderId="0" xfId="53" applyNumberFormat="1" applyFont="1" applyFill="1" applyAlignment="1"/>
    <xf numFmtId="170" fontId="23" fillId="7" borderId="0" xfId="53" applyNumberFormat="1" applyFont="1" applyFill="1" applyAlignment="1"/>
    <xf numFmtId="43" fontId="23" fillId="7" borderId="0" xfId="53" applyNumberFormat="1" applyFont="1" applyFill="1" applyAlignment="1"/>
    <xf numFmtId="166" fontId="23" fillId="7" borderId="0" xfId="53" applyNumberFormat="1" applyFont="1" applyFill="1"/>
    <xf numFmtId="170" fontId="23" fillId="7" borderId="0" xfId="48" applyNumberFormat="1" applyFont="1" applyFill="1"/>
    <xf numFmtId="171" fontId="23" fillId="7" borderId="0" xfId="48" applyFont="1" applyFill="1"/>
    <xf numFmtId="1" fontId="201" fillId="7" borderId="0" xfId="51" applyNumberFormat="1" applyFont="1" applyFill="1" applyBorder="1" applyAlignment="1">
      <alignment horizontal="center"/>
    </xf>
    <xf numFmtId="43" fontId="201" fillId="7" borderId="0" xfId="1" applyFont="1" applyFill="1" applyBorder="1"/>
    <xf numFmtId="166" fontId="201" fillId="7" borderId="0" xfId="51" applyNumberFormat="1" applyFont="1" applyFill="1" applyBorder="1"/>
    <xf numFmtId="177" fontId="201" fillId="7" borderId="0" xfId="1" applyNumberFormat="1" applyFont="1" applyFill="1" applyBorder="1"/>
    <xf numFmtId="164" fontId="201" fillId="7" borderId="0" xfId="1" applyNumberFormat="1" applyFont="1" applyFill="1" applyBorder="1"/>
    <xf numFmtId="0" fontId="201" fillId="7" borderId="0" xfId="51" applyFont="1" applyFill="1" applyBorder="1"/>
    <xf numFmtId="164" fontId="197" fillId="7" borderId="0" xfId="1" applyNumberFormat="1" applyFont="1" applyFill="1"/>
    <xf numFmtId="43" fontId="201" fillId="7" borderId="0" xfId="51" applyNumberFormat="1" applyFont="1" applyFill="1" applyBorder="1"/>
    <xf numFmtId="43" fontId="201" fillId="7" borderId="0" xfId="51" applyNumberFormat="1" applyFont="1" applyFill="1"/>
    <xf numFmtId="0" fontId="42" fillId="7" borderId="0" xfId="0" applyFont="1" applyFill="1" applyAlignment="1">
      <alignment horizontal="center"/>
    </xf>
    <xf numFmtId="0" fontId="42" fillId="7" borderId="0" xfId="0" applyFont="1" applyFill="1" applyAlignment="1">
      <alignment horizontal="left"/>
    </xf>
    <xf numFmtId="3" fontId="42" fillId="7" borderId="0" xfId="0" applyNumberFormat="1" applyFont="1" applyFill="1" applyAlignment="1">
      <alignment horizontal="center"/>
    </xf>
    <xf numFmtId="164" fontId="197" fillId="7" borderId="0" xfId="1" applyNumberFormat="1" applyFont="1" applyFill="1" applyBorder="1"/>
    <xf numFmtId="4" fontId="201" fillId="7" borderId="0" xfId="46" applyNumberFormat="1" applyFont="1" applyFill="1"/>
    <xf numFmtId="171" fontId="201" fillId="7" borderId="0" xfId="46" applyFont="1" applyFill="1"/>
    <xf numFmtId="4" fontId="201" fillId="7" borderId="0" xfId="52" applyNumberFormat="1" applyFont="1" applyFill="1"/>
    <xf numFmtId="183" fontId="201" fillId="7" borderId="0" xfId="1" applyNumberFormat="1" applyFont="1" applyFill="1"/>
    <xf numFmtId="0" fontId="201" fillId="7" borderId="0" xfId="0" applyFont="1" applyFill="1" applyBorder="1"/>
    <xf numFmtId="0" fontId="201" fillId="7" borderId="0" xfId="0" applyFont="1" applyFill="1" applyBorder="1" applyAlignment="1">
      <alignment horizontal="center"/>
    </xf>
    <xf numFmtId="0" fontId="201" fillId="7" borderId="0" xfId="0" applyFont="1" applyFill="1" applyBorder="1" applyAlignment="1">
      <alignment horizontal="right"/>
    </xf>
    <xf numFmtId="0" fontId="217" fillId="7" borderId="0" xfId="0" applyFont="1" applyFill="1" applyBorder="1"/>
    <xf numFmtId="166" fontId="201" fillId="7" borderId="0" xfId="0" applyNumberFormat="1" applyFont="1" applyFill="1" applyBorder="1"/>
    <xf numFmtId="188" fontId="201" fillId="7" borderId="0" xfId="0" applyNumberFormat="1" applyFont="1" applyFill="1" applyBorder="1"/>
    <xf numFmtId="0" fontId="201" fillId="7" borderId="0" xfId="0" applyFont="1" applyFill="1" applyAlignment="1">
      <alignment horizontal="center"/>
    </xf>
    <xf numFmtId="0" fontId="202" fillId="7" borderId="0" xfId="0" applyFont="1" applyFill="1"/>
    <xf numFmtId="0" fontId="216" fillId="7" borderId="0" xfId="0" applyFont="1" applyFill="1" applyBorder="1"/>
    <xf numFmtId="0" fontId="202" fillId="7" borderId="0" xfId="0" applyFont="1" applyFill="1" applyBorder="1" applyAlignment="1">
      <alignment horizontal="center"/>
    </xf>
    <xf numFmtId="0" fontId="202" fillId="7" borderId="0" xfId="0" applyFont="1" applyFill="1" applyBorder="1"/>
    <xf numFmtId="166" fontId="215" fillId="7" borderId="0" xfId="0" applyNumberFormat="1" applyFont="1" applyFill="1" applyBorder="1" applyAlignment="1">
      <alignment horizontal="left"/>
    </xf>
    <xf numFmtId="0" fontId="201" fillId="7" borderId="0" xfId="0" applyFont="1" applyFill="1" applyBorder="1" applyAlignment="1">
      <alignment horizontal="left"/>
    </xf>
    <xf numFmtId="166" fontId="201" fillId="7" borderId="0" xfId="0" applyNumberFormat="1" applyFont="1" applyFill="1" applyBorder="1" applyAlignment="1">
      <alignment horizontal="left"/>
    </xf>
    <xf numFmtId="0" fontId="201" fillId="7" borderId="0" xfId="0" applyFont="1" applyFill="1" applyBorder="1" applyAlignment="1">
      <alignment wrapText="1"/>
    </xf>
    <xf numFmtId="41" fontId="201" fillId="7" borderId="0" xfId="0" applyNumberFormat="1" applyFont="1" applyFill="1" applyBorder="1"/>
    <xf numFmtId="208" fontId="202" fillId="7" borderId="0" xfId="0" applyNumberFormat="1" applyFont="1" applyFill="1" applyBorder="1" applyAlignment="1">
      <alignment horizontal="center"/>
    </xf>
    <xf numFmtId="208" fontId="201" fillId="7" borderId="0" xfId="0" applyNumberFormat="1" applyFont="1" applyFill="1" applyBorder="1" applyAlignment="1">
      <alignment horizontal="center"/>
    </xf>
    <xf numFmtId="0" fontId="221" fillId="7" borderId="0" xfId="0" applyFont="1" applyFill="1" applyBorder="1"/>
    <xf numFmtId="208" fontId="201" fillId="7" borderId="0" xfId="0" applyNumberFormat="1" applyFont="1" applyFill="1" applyBorder="1"/>
    <xf numFmtId="166" fontId="219" fillId="7" borderId="0" xfId="0" applyNumberFormat="1" applyFont="1" applyFill="1" applyBorder="1" applyAlignment="1">
      <alignment horizontal="left"/>
    </xf>
    <xf numFmtId="0" fontId="219" fillId="7" borderId="0" xfId="0" applyFont="1" applyFill="1" applyBorder="1"/>
    <xf numFmtId="188" fontId="201" fillId="7" borderId="0" xfId="0" applyNumberFormat="1" applyFont="1" applyFill="1" applyBorder="1" applyAlignment="1">
      <alignment horizontal="center"/>
    </xf>
    <xf numFmtId="44" fontId="201" fillId="7" borderId="0" xfId="1652" applyFont="1" applyFill="1" applyBorder="1"/>
    <xf numFmtId="9" fontId="202" fillId="7" borderId="0" xfId="0" applyNumberFormat="1" applyFont="1" applyFill="1" applyBorder="1" applyAlignment="1">
      <alignment horizontal="right"/>
    </xf>
    <xf numFmtId="44" fontId="202" fillId="7" borderId="0" xfId="0" applyNumberFormat="1" applyFont="1" applyFill="1" applyBorder="1"/>
    <xf numFmtId="44" fontId="201" fillId="7" borderId="0" xfId="0" applyNumberFormat="1" applyFont="1" applyFill="1" applyBorder="1"/>
    <xf numFmtId="188" fontId="201" fillId="7" borderId="0" xfId="0" applyNumberFormat="1" applyFont="1" applyFill="1" applyBorder="1" applyAlignment="1">
      <alignment vertical="top"/>
    </xf>
    <xf numFmtId="3" fontId="201" fillId="7" borderId="0" xfId="0" applyNumberFormat="1" applyFont="1" applyFill="1" applyBorder="1" applyAlignment="1">
      <alignment vertical="top"/>
    </xf>
    <xf numFmtId="188" fontId="202" fillId="7" borderId="0" xfId="0" applyNumberFormat="1" applyFont="1" applyFill="1" applyBorder="1"/>
    <xf numFmtId="188" fontId="202" fillId="7" borderId="0" xfId="0" applyNumberFormat="1" applyFont="1" applyFill="1" applyBorder="1" applyAlignment="1">
      <alignment horizontal="center"/>
    </xf>
    <xf numFmtId="0" fontId="226" fillId="7" borderId="0" xfId="0" applyFont="1" applyFill="1" applyBorder="1" applyAlignment="1">
      <alignment horizontal="center"/>
    </xf>
    <xf numFmtId="0" fontId="219" fillId="7" borderId="0" xfId="0" applyFont="1" applyFill="1" applyBorder="1" applyAlignment="1">
      <alignment horizontal="center" wrapText="1"/>
    </xf>
    <xf numFmtId="166" fontId="201" fillId="7" borderId="0" xfId="0" applyNumberFormat="1" applyFont="1" applyFill="1" applyBorder="1" applyAlignment="1">
      <alignment horizontal="center"/>
    </xf>
    <xf numFmtId="165" fontId="201" fillId="7" borderId="0" xfId="61" applyNumberFormat="1" applyFont="1" applyFill="1" applyBorder="1" applyAlignment="1">
      <alignment horizontal="center"/>
    </xf>
    <xf numFmtId="0" fontId="220" fillId="7" borderId="0" xfId="0" applyFont="1" applyFill="1" applyBorder="1" applyAlignment="1">
      <alignment horizontal="center"/>
    </xf>
    <xf numFmtId="3" fontId="220" fillId="7" borderId="0" xfId="0" applyNumberFormat="1" applyFont="1" applyFill="1" applyBorder="1" applyAlignment="1">
      <alignment horizontal="right"/>
    </xf>
    <xf numFmtId="0" fontId="218" fillId="7" borderId="0" xfId="0" applyFont="1" applyFill="1" applyBorder="1"/>
    <xf numFmtId="210" fontId="217" fillId="7" borderId="0" xfId="0" applyNumberFormat="1" applyFont="1" applyFill="1" applyBorder="1"/>
    <xf numFmtId="0" fontId="32" fillId="7" borderId="0" xfId="52" applyFont="1" applyFill="1"/>
    <xf numFmtId="3" fontId="32" fillId="3" borderId="0" xfId="52" applyNumberFormat="1" applyFont="1" applyFill="1"/>
    <xf numFmtId="3" fontId="32" fillId="3" borderId="0" xfId="52" applyNumberFormat="1" applyFont="1" applyFill="1" applyAlignment="1">
      <alignment horizontal="center"/>
    </xf>
    <xf numFmtId="0" fontId="32" fillId="3" borderId="0" xfId="52" applyFont="1" applyFill="1"/>
    <xf numFmtId="2" fontId="32" fillId="5" borderId="0" xfId="0" applyNumberFormat="1" applyFont="1" applyFill="1"/>
    <xf numFmtId="0" fontId="227" fillId="5" borderId="0" xfId="0" applyFont="1" applyFill="1" applyAlignment="1">
      <alignment horizontal="center"/>
    </xf>
    <xf numFmtId="0" fontId="227" fillId="7" borderId="0" xfId="0" applyFont="1" applyFill="1" applyAlignment="1">
      <alignment horizontal="center"/>
    </xf>
    <xf numFmtId="3" fontId="32" fillId="3" borderId="0" xfId="0" applyNumberFormat="1" applyFont="1" applyFill="1"/>
    <xf numFmtId="3" fontId="32" fillId="3" borderId="0" xfId="0" applyNumberFormat="1" applyFont="1" applyFill="1" applyAlignment="1">
      <alignment horizontal="center"/>
    </xf>
    <xf numFmtId="0" fontId="32" fillId="3" borderId="0" xfId="0" applyFont="1" applyFill="1"/>
    <xf numFmtId="0" fontId="32" fillId="5" borderId="0" xfId="0" applyFont="1" applyFill="1"/>
    <xf numFmtId="0" fontId="32" fillId="7" borderId="0" xfId="0" applyFont="1" applyFill="1"/>
    <xf numFmtId="3" fontId="32" fillId="3" borderId="0" xfId="0" applyNumberFormat="1" applyFont="1" applyFill="1" applyBorder="1" applyAlignment="1">
      <alignment horizontal="left" indent="1"/>
    </xf>
    <xf numFmtId="3" fontId="227" fillId="3" borderId="0" xfId="0" applyNumberFormat="1" applyFont="1" applyFill="1" applyBorder="1" applyAlignment="1">
      <alignment horizontal="center"/>
    </xf>
    <xf numFmtId="2" fontId="227" fillId="5" borderId="0" xfId="0" applyNumberFormat="1" applyFont="1" applyFill="1"/>
    <xf numFmtId="0" fontId="227" fillId="5" borderId="2" xfId="0" applyFont="1" applyFill="1" applyBorder="1"/>
    <xf numFmtId="0" fontId="227" fillId="5" borderId="2" xfId="0" applyFont="1" applyFill="1" applyBorder="1" applyAlignment="1">
      <alignment horizontal="center"/>
    </xf>
    <xf numFmtId="3" fontId="32" fillId="3" borderId="0" xfId="0" applyNumberFormat="1" applyFont="1" applyFill="1" applyBorder="1"/>
    <xf numFmtId="0" fontId="32" fillId="5" borderId="0" xfId="55" quotePrefix="1" applyNumberFormat="1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165" fontId="227" fillId="5" borderId="0" xfId="0" applyNumberFormat="1" applyFont="1" applyFill="1" applyAlignment="1">
      <alignment horizontal="right" indent="1"/>
    </xf>
    <xf numFmtId="3" fontId="32" fillId="7" borderId="0" xfId="0" applyNumberFormat="1" applyFont="1" applyFill="1" applyBorder="1"/>
    <xf numFmtId="3" fontId="32" fillId="7" borderId="0" xfId="0" applyNumberFormat="1" applyFont="1" applyFill="1" applyBorder="1" applyAlignment="1">
      <alignment horizontal="center"/>
    </xf>
    <xf numFmtId="0" fontId="32" fillId="5" borderId="0" xfId="55" applyNumberFormat="1" applyFont="1" applyFill="1" applyAlignment="1">
      <alignment horizontal="left" indent="1"/>
    </xf>
    <xf numFmtId="164" fontId="32" fillId="5" borderId="0" xfId="0" applyNumberFormat="1" applyFont="1" applyFill="1"/>
    <xf numFmtId="41" fontId="32" fillId="5" borderId="0" xfId="0" applyNumberFormat="1" applyFont="1" applyFill="1"/>
    <xf numFmtId="165" fontId="32" fillId="5" borderId="0" xfId="0" applyNumberFormat="1" applyFont="1" applyFill="1" applyAlignment="1">
      <alignment horizontal="right" indent="1"/>
    </xf>
    <xf numFmtId="41" fontId="227" fillId="7" borderId="0" xfId="0" applyNumberFormat="1" applyFont="1" applyFill="1"/>
    <xf numFmtId="10" fontId="32" fillId="7" borderId="0" xfId="61" applyNumberFormat="1" applyFont="1" applyFill="1" applyAlignment="1">
      <alignment horizontal="center"/>
    </xf>
    <xf numFmtId="3" fontId="32" fillId="7" borderId="0" xfId="0" applyNumberFormat="1" applyFont="1" applyFill="1"/>
    <xf numFmtId="3" fontId="32" fillId="7" borderId="0" xfId="0" applyNumberFormat="1" applyFont="1" applyFill="1" applyAlignment="1">
      <alignment horizontal="center"/>
    </xf>
    <xf numFmtId="173" fontId="32" fillId="7" borderId="0" xfId="0" applyNumberFormat="1" applyFont="1" applyFill="1" applyBorder="1"/>
    <xf numFmtId="0" fontId="32" fillId="5" borderId="0" xfId="55" applyNumberFormat="1" applyFont="1" applyFill="1" applyAlignment="1">
      <alignment horizontal="left" indent="2"/>
    </xf>
    <xf numFmtId="170" fontId="32" fillId="7" borderId="0" xfId="0" applyNumberFormat="1" applyFont="1" applyFill="1" applyBorder="1"/>
    <xf numFmtId="165" fontId="32" fillId="7" borderId="0" xfId="61" applyNumberFormat="1" applyFont="1" applyFill="1"/>
    <xf numFmtId="165" fontId="32" fillId="7" borderId="0" xfId="61" applyNumberFormat="1" applyFont="1" applyFill="1" applyBorder="1"/>
    <xf numFmtId="41" fontId="32" fillId="5" borderId="2" xfId="0" applyNumberFormat="1" applyFont="1" applyFill="1" applyBorder="1"/>
    <xf numFmtId="43" fontId="32" fillId="7" borderId="0" xfId="1" applyNumberFormat="1" applyFont="1" applyFill="1" applyBorder="1"/>
    <xf numFmtId="41" fontId="227" fillId="5" borderId="0" xfId="0" applyNumberFormat="1" applyFont="1" applyFill="1"/>
    <xf numFmtId="3" fontId="32" fillId="5" borderId="0" xfId="0" applyNumberFormat="1" applyFont="1" applyFill="1"/>
    <xf numFmtId="43" fontId="32" fillId="7" borderId="0" xfId="1" applyFont="1" applyFill="1"/>
    <xf numFmtId="41" fontId="32" fillId="5" borderId="0" xfId="0" applyNumberFormat="1" applyFont="1" applyFill="1" applyBorder="1"/>
    <xf numFmtId="41" fontId="227" fillId="5" borderId="3" xfId="0" applyNumberFormat="1" applyFont="1" applyFill="1" applyBorder="1"/>
    <xf numFmtId="3" fontId="227" fillId="7" borderId="0" xfId="0" applyNumberFormat="1" applyFont="1" applyFill="1" applyAlignment="1">
      <alignment horizontal="center"/>
    </xf>
    <xf numFmtId="165" fontId="227" fillId="7" borderId="0" xfId="61" applyNumberFormat="1" applyFont="1" applyFill="1"/>
    <xf numFmtId="3" fontId="227" fillId="3" borderId="0" xfId="0" applyNumberFormat="1" applyFont="1" applyFill="1"/>
    <xf numFmtId="0" fontId="32" fillId="5" borderId="0" xfId="55" applyNumberFormat="1" applyFont="1" applyFill="1" applyAlignment="1">
      <alignment horizontal="left" indent="3"/>
    </xf>
    <xf numFmtId="165" fontId="32" fillId="5" borderId="0" xfId="0" applyNumberFormat="1" applyFont="1" applyFill="1"/>
    <xf numFmtId="0" fontId="32" fillId="5" borderId="2" xfId="0" applyFont="1" applyFill="1" applyBorder="1"/>
    <xf numFmtId="165" fontId="32" fillId="5" borderId="2" xfId="0" applyNumberFormat="1" applyFont="1" applyFill="1" applyBorder="1"/>
    <xf numFmtId="0" fontId="227" fillId="5" borderId="0" xfId="55" applyNumberFormat="1" applyFont="1" applyFill="1" applyAlignment="1">
      <alignment horizontal="left" indent="1"/>
    </xf>
    <xf numFmtId="0" fontId="32" fillId="7" borderId="0" xfId="0" applyFont="1" applyFill="1" applyAlignment="1"/>
    <xf numFmtId="0" fontId="32" fillId="7" borderId="0" xfId="0" applyFont="1" applyFill="1" applyAlignment="1">
      <alignment wrapText="1"/>
    </xf>
    <xf numFmtId="3" fontId="32" fillId="7" borderId="0" xfId="0" quotePrefix="1" applyNumberFormat="1" applyFont="1" applyFill="1" applyAlignment="1">
      <alignment horizontal="center"/>
    </xf>
    <xf numFmtId="0" fontId="32" fillId="3" borderId="0" xfId="0" applyFont="1" applyFill="1" applyAlignment="1">
      <alignment wrapText="1"/>
    </xf>
    <xf numFmtId="0" fontId="32" fillId="7" borderId="0" xfId="0" applyFont="1" applyFill="1" applyAlignment="1">
      <alignment horizontal="center" wrapText="1"/>
    </xf>
    <xf numFmtId="165" fontId="32" fillId="7" borderId="0" xfId="61" applyNumberFormat="1" applyFont="1" applyFill="1" applyAlignment="1">
      <alignment wrapText="1"/>
    </xf>
    <xf numFmtId="41" fontId="32" fillId="5" borderId="0" xfId="0" applyNumberFormat="1" applyFont="1" applyFill="1" applyAlignment="1">
      <alignment horizontal="center"/>
    </xf>
    <xf numFmtId="0" fontId="227" fillId="5" borderId="0" xfId="0" applyFont="1" applyFill="1"/>
    <xf numFmtId="0" fontId="228" fillId="7" borderId="0" xfId="0" applyFont="1" applyFill="1"/>
    <xf numFmtId="0" fontId="229" fillId="7" borderId="0" xfId="0" applyFont="1" applyFill="1" applyBorder="1"/>
    <xf numFmtId="164" fontId="228" fillId="7" borderId="0" xfId="1" applyNumberFormat="1" applyFont="1" applyFill="1" applyBorder="1"/>
    <xf numFmtId="41" fontId="227" fillId="5" borderId="0" xfId="0" applyNumberFormat="1" applyFont="1" applyFill="1" applyBorder="1"/>
    <xf numFmtId="0" fontId="32" fillId="5" borderId="0" xfId="55" applyNumberFormat="1" applyFont="1" applyFill="1" applyAlignment="1">
      <alignment horizontal="left"/>
    </xf>
    <xf numFmtId="41" fontId="32" fillId="5" borderId="4" xfId="0" applyNumberFormat="1" applyFont="1" applyFill="1" applyBorder="1"/>
    <xf numFmtId="41" fontId="32" fillId="7" borderId="0" xfId="0" applyNumberFormat="1" applyFont="1" applyFill="1"/>
    <xf numFmtId="170" fontId="32" fillId="7" borderId="0" xfId="0" applyNumberFormat="1" applyFont="1" applyFill="1" applyBorder="1" applyAlignment="1">
      <alignment horizontal="left"/>
    </xf>
    <xf numFmtId="0" fontId="32" fillId="5" borderId="0" xfId="56" applyNumberFormat="1" applyFont="1" applyFill="1" applyAlignment="1">
      <alignment horizontal="left"/>
    </xf>
    <xf numFmtId="3" fontId="32" fillId="7" borderId="0" xfId="0" applyNumberFormat="1" applyFont="1" applyFill="1" applyBorder="1" applyAlignment="1">
      <alignment horizontal="left"/>
    </xf>
    <xf numFmtId="41" fontId="32" fillId="3" borderId="0" xfId="0" applyNumberFormat="1" applyFont="1" applyFill="1"/>
    <xf numFmtId="164" fontId="32" fillId="5" borderId="0" xfId="0" applyNumberFormat="1" applyFont="1" applyFill="1" applyBorder="1"/>
    <xf numFmtId="41" fontId="227" fillId="5" borderId="2" xfId="0" applyNumberFormat="1" applyFont="1" applyFill="1" applyBorder="1"/>
    <xf numFmtId="165" fontId="227" fillId="5" borderId="2" xfId="0" applyNumberFormat="1" applyFont="1" applyFill="1" applyBorder="1" applyAlignment="1">
      <alignment horizontal="right" indent="1"/>
    </xf>
    <xf numFmtId="16" fontId="32" fillId="5" borderId="0" xfId="55" quotePrefix="1" applyNumberFormat="1" applyFont="1" applyFill="1" applyAlignment="1">
      <alignment horizontal="center"/>
    </xf>
    <xf numFmtId="0" fontId="32" fillId="0" borderId="0" xfId="0" applyFont="1"/>
    <xf numFmtId="0" fontId="227" fillId="5" borderId="0" xfId="55" applyNumberFormat="1" applyFont="1" applyFill="1" applyAlignment="1">
      <alignment horizontal="left"/>
    </xf>
    <xf numFmtId="164" fontId="227" fillId="5" borderId="0" xfId="1" applyNumberFormat="1" applyFont="1" applyFill="1" applyAlignment="1">
      <alignment horizontal="center"/>
    </xf>
    <xf numFmtId="2" fontId="32" fillId="5" borderId="0" xfId="0" applyNumberFormat="1" applyFont="1" applyFill="1" applyAlignment="1">
      <alignment horizontal="center"/>
    </xf>
    <xf numFmtId="164" fontId="32" fillId="5" borderId="0" xfId="1" applyNumberFormat="1" applyFont="1" applyFill="1" applyBorder="1"/>
    <xf numFmtId="41" fontId="32" fillId="5" borderId="0" xfId="0" applyNumberFormat="1" applyFont="1" applyFill="1" applyBorder="1" applyAlignment="1">
      <alignment horizontal="right"/>
    </xf>
    <xf numFmtId="0" fontId="32" fillId="5" borderId="0" xfId="0" applyFont="1" applyFill="1" applyBorder="1"/>
    <xf numFmtId="3" fontId="32" fillId="3" borderId="0" xfId="0" quotePrefix="1" applyNumberFormat="1" applyFont="1" applyFill="1" applyAlignment="1">
      <alignment horizontal="center"/>
    </xf>
    <xf numFmtId="10" fontId="227" fillId="5" borderId="0" xfId="0" applyNumberFormat="1" applyFont="1" applyFill="1" applyAlignment="1">
      <alignment horizontal="right" indent="1"/>
    </xf>
    <xf numFmtId="0" fontId="32" fillId="5" borderId="0" xfId="55" quotePrefix="1" applyNumberFormat="1" applyFont="1" applyFill="1" applyBorder="1" applyAlignment="1">
      <alignment horizontal="center"/>
    </xf>
    <xf numFmtId="0" fontId="32" fillId="5" borderId="0" xfId="55" applyNumberFormat="1" applyFont="1" applyFill="1" applyBorder="1" applyAlignment="1">
      <alignment horizontal="left" indent="1"/>
    </xf>
    <xf numFmtId="165" fontId="32" fillId="5" borderId="0" xfId="0" applyNumberFormat="1" applyFont="1" applyFill="1" applyBorder="1" applyAlignment="1">
      <alignment horizontal="right" indent="1"/>
    </xf>
    <xf numFmtId="0" fontId="227" fillId="5" borderId="0" xfId="55" applyNumberFormat="1" applyFont="1" applyFill="1" applyBorder="1" applyAlignment="1">
      <alignment horizontal="left" indent="1"/>
    </xf>
    <xf numFmtId="0" fontId="32" fillId="5" borderId="2" xfId="55" quotePrefix="1" applyNumberFormat="1" applyFont="1" applyFill="1" applyBorder="1" applyAlignment="1">
      <alignment horizontal="center"/>
    </xf>
    <xf numFmtId="165" fontId="32" fillId="5" borderId="2" xfId="0" applyNumberFormat="1" applyFont="1" applyFill="1" applyBorder="1" applyAlignment="1">
      <alignment horizontal="right" indent="1"/>
    </xf>
    <xf numFmtId="164" fontId="227" fillId="62" borderId="0" xfId="1" applyNumberFormat="1" applyFont="1" applyFill="1" applyAlignment="1">
      <alignment vertical="center"/>
    </xf>
    <xf numFmtId="1" fontId="227" fillId="62" borderId="0" xfId="1" applyNumberFormat="1" applyFont="1" applyFill="1" applyAlignment="1">
      <alignment horizontal="center" vertical="center"/>
    </xf>
    <xf numFmtId="165" fontId="32" fillId="5" borderId="0" xfId="61" applyNumberFormat="1" applyFont="1" applyFill="1" applyAlignment="1">
      <alignment horizontal="left"/>
    </xf>
    <xf numFmtId="9" fontId="233" fillId="7" borderId="0" xfId="61" applyFont="1" applyFill="1" applyBorder="1" applyAlignment="1">
      <alignment horizontal="left"/>
    </xf>
    <xf numFmtId="9" fontId="228" fillId="7" borderId="0" xfId="61" applyFont="1" applyFill="1" applyBorder="1" applyAlignment="1">
      <alignment horizontal="left"/>
    </xf>
    <xf numFmtId="0" fontId="233" fillId="7" borderId="0" xfId="0" applyFont="1" applyFill="1" applyBorder="1" applyAlignment="1">
      <alignment horizontal="left"/>
    </xf>
    <xf numFmtId="3" fontId="228" fillId="7" borderId="0" xfId="0" applyNumberFormat="1" applyFont="1" applyFill="1" applyBorder="1" applyAlignment="1">
      <alignment horizontal="left"/>
    </xf>
    <xf numFmtId="164" fontId="228" fillId="7" borderId="0" xfId="1" applyNumberFormat="1" applyFont="1" applyFill="1" applyBorder="1" applyAlignment="1">
      <alignment horizontal="left"/>
    </xf>
    <xf numFmtId="0" fontId="32" fillId="3" borderId="0" xfId="52" applyFont="1" applyFill="1" applyAlignment="1">
      <alignment vertical="center"/>
    </xf>
    <xf numFmtId="166" fontId="32" fillId="3" borderId="0" xfId="52" applyNumberFormat="1" applyFont="1" applyFill="1" applyAlignment="1">
      <alignment vertical="center"/>
    </xf>
    <xf numFmtId="171" fontId="32" fillId="3" borderId="0" xfId="47" applyFont="1" applyFill="1" applyAlignment="1">
      <alignment vertical="center"/>
    </xf>
    <xf numFmtId="1" fontId="227" fillId="4" borderId="0" xfId="51" applyNumberFormat="1" applyFont="1" applyFill="1" applyAlignment="1">
      <alignment horizontal="center" vertical="center"/>
    </xf>
    <xf numFmtId="166" fontId="32" fillId="3" borderId="0" xfId="47" applyNumberFormat="1" applyFont="1" applyFill="1" applyAlignment="1">
      <alignment vertical="center"/>
    </xf>
    <xf numFmtId="171" fontId="227" fillId="4" borderId="2" xfId="47" applyFont="1" applyFill="1" applyBorder="1" applyAlignment="1">
      <alignment vertical="center"/>
    </xf>
    <xf numFmtId="1" fontId="227" fillId="4" borderId="2" xfId="51" applyNumberFormat="1" applyFont="1" applyFill="1" applyBorder="1" applyAlignment="1">
      <alignment horizontal="center" vertical="center"/>
    </xf>
    <xf numFmtId="1" fontId="227" fillId="4" borderId="2" xfId="51" applyNumberFormat="1" applyFont="1" applyFill="1" applyBorder="1" applyAlignment="1">
      <alignment horizontal="center" vertical="center" wrapText="1"/>
    </xf>
    <xf numFmtId="1" fontId="227" fillId="3" borderId="0" xfId="51" applyNumberFormat="1" applyFont="1" applyFill="1" applyAlignment="1">
      <alignment vertical="center"/>
    </xf>
    <xf numFmtId="0" fontId="227" fillId="0" borderId="0" xfId="51" applyNumberFormat="1" applyFont="1" applyFill="1" applyAlignment="1"/>
    <xf numFmtId="171" fontId="32" fillId="0" borderId="0" xfId="47" applyFont="1" applyFill="1" applyAlignment="1">
      <alignment horizontal="center"/>
    </xf>
    <xf numFmtId="3" fontId="32" fillId="0" borderId="0" xfId="57" applyNumberFormat="1" applyFont="1" applyFill="1" applyBorder="1" applyAlignment="1">
      <alignment horizontal="center"/>
    </xf>
    <xf numFmtId="171" fontId="32" fillId="0" borderId="0" xfId="47" applyFont="1" applyFill="1" applyAlignment="1">
      <alignment horizontal="center" vertical="center"/>
    </xf>
    <xf numFmtId="0" fontId="32" fillId="3" borderId="0" xfId="47" applyNumberFormat="1" applyFont="1" applyFill="1" applyAlignment="1">
      <alignment vertical="center"/>
    </xf>
    <xf numFmtId="0" fontId="32" fillId="0" borderId="0" xfId="60" applyNumberFormat="1" applyFont="1" applyFill="1" applyAlignment="1">
      <alignment horizontal="left" vertical="center"/>
    </xf>
    <xf numFmtId="1" fontId="32" fillId="0" borderId="0" xfId="51" applyNumberFormat="1" applyFont="1" applyFill="1" applyAlignment="1">
      <alignment horizontal="center" vertical="center"/>
    </xf>
    <xf numFmtId="3" fontId="227" fillId="0" borderId="0" xfId="57" applyNumberFormat="1" applyFont="1" applyFill="1" applyBorder="1" applyAlignment="1">
      <alignment horizontal="center" vertical="center"/>
    </xf>
    <xf numFmtId="173" fontId="227" fillId="0" borderId="0" xfId="57" applyNumberFormat="1" applyFont="1" applyFill="1" applyBorder="1" applyAlignment="1">
      <alignment horizontal="center" vertical="center"/>
    </xf>
    <xf numFmtId="4" fontId="227" fillId="0" borderId="0" xfId="57" applyNumberFormat="1" applyFont="1" applyFill="1" applyBorder="1" applyAlignment="1">
      <alignment horizontal="center" vertical="center"/>
    </xf>
    <xf numFmtId="170" fontId="227" fillId="0" borderId="0" xfId="57" quotePrefix="1" applyNumberFormat="1" applyFont="1" applyFill="1" applyBorder="1" applyAlignment="1">
      <alignment horizontal="center" vertical="center"/>
    </xf>
    <xf numFmtId="170" fontId="227" fillId="0" borderId="0" xfId="57" applyNumberFormat="1" applyFont="1" applyFill="1" applyBorder="1" applyAlignment="1">
      <alignment horizontal="center" vertical="center"/>
    </xf>
    <xf numFmtId="1" fontId="32" fillId="0" borderId="0" xfId="51" applyNumberFormat="1" applyFont="1" applyFill="1" applyAlignment="1">
      <alignment horizontal="center"/>
    </xf>
    <xf numFmtId="170" fontId="227" fillId="0" borderId="0" xfId="57" quotePrefix="1" applyNumberFormat="1" applyFont="1" applyFill="1" applyBorder="1" applyAlignment="1">
      <alignment horizontal="center"/>
    </xf>
    <xf numFmtId="170" fontId="227" fillId="0" borderId="0" xfId="57" applyNumberFormat="1" applyFont="1" applyFill="1" applyBorder="1" applyAlignment="1">
      <alignment horizontal="center"/>
    </xf>
    <xf numFmtId="179" fontId="32" fillId="3" borderId="0" xfId="1" applyNumberFormat="1" applyFont="1" applyFill="1" applyAlignment="1">
      <alignment vertical="center"/>
    </xf>
    <xf numFmtId="4" fontId="32" fillId="3" borderId="0" xfId="47" applyNumberFormat="1" applyFont="1" applyFill="1" applyAlignment="1">
      <alignment vertical="center"/>
    </xf>
    <xf numFmtId="181" fontId="32" fillId="3" borderId="0" xfId="47" applyNumberFormat="1" applyFont="1" applyFill="1" applyAlignment="1">
      <alignment vertical="center"/>
    </xf>
    <xf numFmtId="171" fontId="32" fillId="7" borderId="0" xfId="47" applyFont="1" applyFill="1" applyAlignment="1">
      <alignment vertical="center"/>
    </xf>
    <xf numFmtId="3" fontId="227" fillId="0" borderId="0" xfId="57" applyNumberFormat="1" applyFont="1" applyFill="1" applyBorder="1" applyAlignment="1">
      <alignment horizontal="center"/>
    </xf>
    <xf numFmtId="170" fontId="227" fillId="0" borderId="0" xfId="57" quotePrefix="1" applyNumberFormat="1" applyFont="1" applyFill="1" applyBorder="1" applyAlignment="1">
      <alignment horizontal="center" vertical="center" wrapText="1"/>
    </xf>
    <xf numFmtId="0" fontId="227" fillId="7" borderId="0" xfId="51" applyNumberFormat="1" applyFont="1" applyFill="1" applyAlignment="1"/>
    <xf numFmtId="1" fontId="32" fillId="7" borderId="0" xfId="51" applyNumberFormat="1" applyFont="1" applyFill="1" applyAlignment="1">
      <alignment horizontal="center"/>
    </xf>
    <xf numFmtId="173" fontId="227" fillId="7" borderId="0" xfId="57" applyNumberFormat="1" applyFont="1" applyFill="1" applyBorder="1" applyAlignment="1">
      <alignment horizontal="center" vertical="center"/>
    </xf>
    <xf numFmtId="0" fontId="32" fillId="7" borderId="0" xfId="60" applyNumberFormat="1" applyFont="1" applyFill="1" applyAlignment="1">
      <alignment horizontal="left" vertical="center"/>
    </xf>
    <xf numFmtId="1" fontId="32" fillId="7" borderId="0" xfId="51" applyNumberFormat="1" applyFont="1" applyFill="1" applyAlignment="1">
      <alignment horizontal="center" vertical="center"/>
    </xf>
    <xf numFmtId="170" fontId="32" fillId="7" borderId="0" xfId="47" applyNumberFormat="1" applyFont="1" applyFill="1" applyAlignment="1">
      <alignment vertical="center"/>
    </xf>
    <xf numFmtId="165" fontId="32" fillId="7" borderId="0" xfId="61" applyNumberFormat="1" applyFont="1" applyFill="1" applyAlignment="1">
      <alignment vertical="center"/>
    </xf>
    <xf numFmtId="1" fontId="227" fillId="0" borderId="0" xfId="51" applyNumberFormat="1" applyFont="1" applyFill="1" applyAlignment="1"/>
    <xf numFmtId="166" fontId="32" fillId="7" borderId="0" xfId="47" applyNumberFormat="1" applyFont="1" applyFill="1" applyAlignment="1">
      <alignment vertical="center"/>
    </xf>
    <xf numFmtId="4" fontId="32" fillId="7" borderId="0" xfId="47" applyNumberFormat="1" applyFont="1" applyFill="1" applyAlignment="1">
      <alignment vertical="center"/>
    </xf>
    <xf numFmtId="0" fontId="227" fillId="0" borderId="0" xfId="51" applyFont="1" applyFill="1" applyAlignment="1">
      <alignment horizontal="center"/>
    </xf>
    <xf numFmtId="170" fontId="227" fillId="3" borderId="0" xfId="47" applyNumberFormat="1" applyFont="1" applyFill="1" applyAlignment="1">
      <alignment vertical="center"/>
    </xf>
    <xf numFmtId="0" fontId="227" fillId="0" borderId="0" xfId="51" quotePrefix="1" applyFont="1" applyFill="1" applyAlignment="1">
      <alignment horizontal="center"/>
    </xf>
    <xf numFmtId="171" fontId="227" fillId="0" borderId="0" xfId="47" applyFont="1" applyFill="1" applyAlignment="1">
      <alignment horizontal="center"/>
    </xf>
    <xf numFmtId="3" fontId="227" fillId="0" borderId="0" xfId="58" applyNumberFormat="1" applyFont="1" applyFill="1" applyBorder="1" applyAlignment="1">
      <alignment horizontal="center"/>
    </xf>
    <xf numFmtId="4" fontId="227" fillId="0" borderId="0" xfId="58" applyNumberFormat="1" applyFont="1" applyFill="1" applyBorder="1" applyAlignment="1">
      <alignment horizontal="center"/>
    </xf>
    <xf numFmtId="170" fontId="227" fillId="0" borderId="0" xfId="58" applyNumberFormat="1" applyFont="1" applyFill="1" applyBorder="1" applyAlignment="1">
      <alignment horizontal="center" vertical="center"/>
    </xf>
    <xf numFmtId="170" fontId="227" fillId="0" borderId="0" xfId="58" applyNumberFormat="1" applyFont="1" applyFill="1" applyBorder="1" applyAlignment="1">
      <alignment horizontal="center"/>
    </xf>
    <xf numFmtId="4" fontId="227" fillId="3" borderId="0" xfId="47" applyNumberFormat="1" applyFont="1" applyFill="1" applyAlignment="1">
      <alignment vertical="center"/>
    </xf>
    <xf numFmtId="0" fontId="227" fillId="0" borderId="0" xfId="60" applyNumberFormat="1" applyFont="1" applyFill="1" applyAlignment="1">
      <alignment horizontal="left"/>
    </xf>
    <xf numFmtId="170" fontId="227" fillId="5" borderId="0" xfId="57" applyNumberFormat="1" applyFont="1" applyFill="1" applyBorder="1" applyAlignment="1">
      <alignment horizontal="center" vertical="center"/>
    </xf>
    <xf numFmtId="1" fontId="227" fillId="0" borderId="0" xfId="51" applyNumberFormat="1" applyFont="1" applyFill="1" applyBorder="1" applyAlignment="1">
      <alignment horizontal="center"/>
    </xf>
    <xf numFmtId="4" fontId="227" fillId="0" borderId="0" xfId="57" applyNumberFormat="1" applyFont="1" applyFill="1" applyBorder="1" applyAlignment="1">
      <alignment horizontal="center"/>
    </xf>
    <xf numFmtId="1" fontId="227" fillId="0" borderId="0" xfId="51" applyNumberFormat="1" applyFont="1" applyFill="1" applyBorder="1" applyAlignment="1">
      <alignment horizontal="center" vertical="center"/>
    </xf>
    <xf numFmtId="171" fontId="32" fillId="7" borderId="0" xfId="47" applyFont="1" applyFill="1" applyAlignment="1">
      <alignment horizontal="center" vertical="center"/>
    </xf>
    <xf numFmtId="1" fontId="32" fillId="7" borderId="0" xfId="51" applyNumberFormat="1" applyFont="1" applyFill="1" applyBorder="1" applyAlignment="1">
      <alignment vertical="center"/>
    </xf>
    <xf numFmtId="171" fontId="227" fillId="7" borderId="0" xfId="47" applyFont="1" applyFill="1" applyAlignment="1">
      <alignment vertical="center"/>
    </xf>
    <xf numFmtId="4" fontId="32" fillId="7" borderId="0" xfId="47" applyNumberFormat="1" applyFont="1" applyFill="1" applyAlignment="1">
      <alignment horizontal="center" vertical="center"/>
    </xf>
    <xf numFmtId="1" fontId="32" fillId="7" borderId="0" xfId="51" applyNumberFormat="1" applyFont="1" applyFill="1" applyAlignment="1">
      <alignment vertical="center"/>
    </xf>
    <xf numFmtId="171" fontId="32" fillId="3" borderId="0" xfId="47" applyFont="1" applyFill="1" applyAlignment="1">
      <alignment horizontal="center" vertical="center"/>
    </xf>
    <xf numFmtId="1" fontId="32" fillId="3" borderId="0" xfId="51" applyNumberFormat="1" applyFont="1" applyFill="1" applyAlignment="1">
      <alignment vertical="center"/>
    </xf>
    <xf numFmtId="173" fontId="32" fillId="0" borderId="0" xfId="57" applyNumberFormat="1" applyFont="1" applyFill="1" applyBorder="1" applyAlignment="1">
      <alignment horizontal="center" vertical="center"/>
    </xf>
    <xf numFmtId="165" fontId="32" fillId="0" borderId="0" xfId="4598" applyNumberFormat="1" applyFont="1" applyFill="1" applyBorder="1" applyAlignment="1">
      <alignment horizontal="center" vertical="center"/>
    </xf>
    <xf numFmtId="4" fontId="32" fillId="0" borderId="0" xfId="57" applyNumberFormat="1" applyFont="1" applyFill="1" applyBorder="1" applyAlignment="1">
      <alignment horizontal="center" vertical="center"/>
    </xf>
    <xf numFmtId="170" fontId="32" fillId="0" borderId="0" xfId="57" applyNumberFormat="1" applyFont="1" applyFill="1" applyBorder="1" applyAlignment="1">
      <alignment horizontal="center" vertical="center"/>
    </xf>
    <xf numFmtId="170" fontId="32" fillId="0" borderId="0" xfId="57" applyNumberFormat="1" applyFont="1" applyFill="1" applyBorder="1" applyAlignment="1">
      <alignment horizontal="center"/>
    </xf>
    <xf numFmtId="165" fontId="32" fillId="0" borderId="0" xfId="57" applyNumberFormat="1" applyFont="1" applyFill="1" applyBorder="1" applyAlignment="1">
      <alignment horizontal="center"/>
    </xf>
    <xf numFmtId="4" fontId="32" fillId="0" borderId="0" xfId="58" applyNumberFormat="1" applyFont="1" applyFill="1" applyBorder="1" applyAlignment="1">
      <alignment horizontal="center"/>
    </xf>
    <xf numFmtId="170" fontId="32" fillId="0" borderId="0" xfId="58" applyNumberFormat="1" applyFont="1" applyFill="1" applyBorder="1" applyAlignment="1">
      <alignment horizontal="center" vertical="center"/>
    </xf>
    <xf numFmtId="165" fontId="32" fillId="0" borderId="0" xfId="58" applyNumberFormat="1" applyFont="1" applyFill="1" applyBorder="1" applyAlignment="1">
      <alignment horizontal="center"/>
    </xf>
    <xf numFmtId="4" fontId="32" fillId="0" borderId="0" xfId="58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right"/>
    </xf>
    <xf numFmtId="0" fontId="227" fillId="5" borderId="0" xfId="0" applyFont="1" applyFill="1" applyBorder="1"/>
    <xf numFmtId="0" fontId="227" fillId="5" borderId="0" xfId="0" applyFont="1" applyFill="1" applyBorder="1" applyAlignment="1">
      <alignment horizontal="center"/>
    </xf>
    <xf numFmtId="0" fontId="227" fillId="5" borderId="0" xfId="0" applyFont="1" applyFill="1" applyBorder="1" applyAlignment="1">
      <alignment horizontal="right"/>
    </xf>
    <xf numFmtId="208" fontId="32" fillId="5" borderId="0" xfId="0" applyNumberFormat="1" applyFont="1" applyFill="1" applyBorder="1" applyAlignment="1">
      <alignment horizontal="center"/>
    </xf>
    <xf numFmtId="166" fontId="32" fillId="5" borderId="0" xfId="0" applyNumberFormat="1" applyFont="1" applyFill="1" applyBorder="1" applyAlignment="1">
      <alignment horizontal="right"/>
    </xf>
    <xf numFmtId="166" fontId="32" fillId="5" borderId="0" xfId="0" applyNumberFormat="1" applyFont="1" applyFill="1" applyBorder="1" applyAlignment="1">
      <alignment horizontal="center"/>
    </xf>
    <xf numFmtId="188" fontId="32" fillId="5" borderId="0" xfId="0" applyNumberFormat="1" applyFont="1" applyFill="1" applyBorder="1" applyAlignment="1">
      <alignment horizontal="center"/>
    </xf>
    <xf numFmtId="2" fontId="32" fillId="5" borderId="0" xfId="0" applyNumberFormat="1" applyFont="1" applyFill="1" applyBorder="1" applyAlignment="1">
      <alignment horizontal="right"/>
    </xf>
    <xf numFmtId="2" fontId="32" fillId="5" borderId="0" xfId="0" applyNumberFormat="1" applyFont="1" applyFill="1" applyBorder="1"/>
    <xf numFmtId="208" fontId="227" fillId="5" borderId="0" xfId="0" applyNumberFormat="1" applyFont="1" applyFill="1" applyBorder="1" applyAlignment="1">
      <alignment horizontal="center"/>
    </xf>
    <xf numFmtId="1" fontId="32" fillId="5" borderId="0" xfId="0" applyNumberFormat="1" applyFont="1" applyFill="1" applyBorder="1" applyAlignment="1">
      <alignment horizontal="right"/>
    </xf>
    <xf numFmtId="5" fontId="32" fillId="5" borderId="0" xfId="0" applyNumberFormat="1" applyFont="1" applyFill="1" applyBorder="1" applyAlignment="1">
      <alignment horizontal="center"/>
    </xf>
    <xf numFmtId="210" fontId="227" fillId="5" borderId="0" xfId="0" applyNumberFormat="1" applyFont="1" applyFill="1" applyBorder="1" applyAlignment="1">
      <alignment horizontal="center"/>
    </xf>
    <xf numFmtId="188" fontId="32" fillId="5" borderId="0" xfId="0" applyNumberFormat="1" applyFont="1" applyFill="1" applyBorder="1" applyAlignment="1">
      <alignment horizontal="right"/>
    </xf>
    <xf numFmtId="188" fontId="32" fillId="5" borderId="0" xfId="0" applyNumberFormat="1" applyFont="1" applyFill="1" applyBorder="1"/>
    <xf numFmtId="209" fontId="32" fillId="5" borderId="0" xfId="0" applyNumberFormat="1" applyFont="1" applyFill="1" applyBorder="1"/>
    <xf numFmtId="16" fontId="32" fillId="5" borderId="0" xfId="0" applyNumberFormat="1" applyFont="1" applyFill="1" applyBorder="1" applyAlignment="1">
      <alignment horizontal="right"/>
    </xf>
    <xf numFmtId="16" fontId="32" fillId="5" borderId="0" xfId="0" applyNumberFormat="1" applyFont="1" applyFill="1" applyBorder="1" applyAlignment="1">
      <alignment horizontal="right" vertical="top"/>
    </xf>
    <xf numFmtId="2" fontId="32" fillId="5" borderId="0" xfId="4596" applyNumberFormat="1" applyFont="1" applyFill="1" applyAlignment="1">
      <alignment horizontal="right"/>
    </xf>
    <xf numFmtId="1" fontId="227" fillId="5" borderId="0" xfId="4597" applyNumberFormat="1" applyFont="1" applyFill="1" applyAlignment="1">
      <alignment horizontal="center"/>
    </xf>
    <xf numFmtId="0" fontId="227" fillId="5" borderId="2" xfId="4596" applyNumberFormat="1" applyFont="1" applyFill="1" applyBorder="1"/>
    <xf numFmtId="1" fontId="227" fillId="5" borderId="2" xfId="4597" applyNumberFormat="1" applyFont="1" applyFill="1" applyBorder="1" applyAlignment="1">
      <alignment horizontal="center"/>
    </xf>
    <xf numFmtId="1" fontId="227" fillId="5" borderId="2" xfId="4597" applyNumberFormat="1" applyFont="1" applyFill="1" applyBorder="1" applyAlignment="1">
      <alignment horizontal="center" wrapText="1"/>
    </xf>
    <xf numFmtId="0" fontId="32" fillId="5" borderId="0" xfId="4597" quotePrefix="1" applyNumberFormat="1" applyFont="1" applyFill="1" applyAlignment="1">
      <alignment horizontal="right"/>
    </xf>
    <xf numFmtId="0" fontId="227" fillId="5" borderId="0" xfId="4597" applyNumberFormat="1" applyFont="1" applyFill="1"/>
    <xf numFmtId="171" fontId="32" fillId="5" borderId="0" xfId="4596" applyFont="1" applyFill="1" applyAlignment="1">
      <alignment horizontal="center"/>
    </xf>
    <xf numFmtId="171" fontId="235" fillId="5" borderId="0" xfId="4596" applyFont="1" applyFill="1" applyAlignment="1">
      <alignment horizontal="center"/>
    </xf>
    <xf numFmtId="4" fontId="32" fillId="5" borderId="0" xfId="4598" applyNumberFormat="1" applyFont="1" applyFill="1" applyBorder="1" applyAlignment="1">
      <alignment horizontal="center"/>
    </xf>
    <xf numFmtId="0" fontId="32" fillId="5" borderId="0" xfId="4599" applyNumberFormat="1" applyFont="1" applyFill="1" applyAlignment="1">
      <alignment horizontal="left" indent="1"/>
    </xf>
    <xf numFmtId="1" fontId="32" fillId="5" borderId="0" xfId="4597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165" fontId="32" fillId="5" borderId="0" xfId="4598" applyNumberFormat="1" applyFont="1" applyFill="1" applyBorder="1" applyAlignment="1">
      <alignment horizontal="center"/>
    </xf>
    <xf numFmtId="2" fontId="32" fillId="0" borderId="0" xfId="0" applyNumberFormat="1" applyFont="1" applyAlignment="1">
      <alignment horizontal="center"/>
    </xf>
    <xf numFmtId="0" fontId="32" fillId="5" borderId="0" xfId="4597" applyNumberFormat="1" applyFont="1" applyFill="1"/>
    <xf numFmtId="0" fontId="227" fillId="0" borderId="0" xfId="0" applyFont="1"/>
    <xf numFmtId="166" fontId="32" fillId="0" borderId="0" xfId="0" applyNumberFormat="1" applyFont="1" applyAlignment="1">
      <alignment horizontal="center"/>
    </xf>
    <xf numFmtId="166" fontId="32" fillId="5" borderId="0" xfId="0" applyNumberFormat="1" applyFont="1" applyFill="1" applyAlignment="1">
      <alignment horizontal="center"/>
    </xf>
    <xf numFmtId="9" fontId="32" fillId="0" borderId="0" xfId="61" applyFont="1" applyAlignment="1">
      <alignment horizontal="center"/>
    </xf>
    <xf numFmtId="16" fontId="32" fillId="5" borderId="0" xfId="4597" quotePrefix="1" applyNumberFormat="1" applyFont="1" applyFill="1" applyAlignment="1">
      <alignment horizontal="right" vertical="top"/>
    </xf>
    <xf numFmtId="2" fontId="227" fillId="4" borderId="0" xfId="54" applyNumberFormat="1" applyFont="1" applyFill="1" applyAlignment="1">
      <alignment horizontal="center" vertical="center"/>
    </xf>
    <xf numFmtId="2" fontId="32" fillId="4" borderId="0" xfId="51" applyNumberFormat="1" applyFont="1" applyFill="1"/>
    <xf numFmtId="1" fontId="227" fillId="4" borderId="0" xfId="51" applyNumberFormat="1" applyFont="1" applyFill="1" applyAlignment="1">
      <alignment horizontal="center"/>
    </xf>
    <xf numFmtId="0" fontId="227" fillId="4" borderId="0" xfId="60" applyFont="1" applyFill="1" applyAlignment="1">
      <alignment horizontal="center"/>
    </xf>
    <xf numFmtId="0" fontId="227" fillId="4" borderId="0" xfId="60" quotePrefix="1" applyFont="1" applyFill="1" applyAlignment="1">
      <alignment horizontal="center"/>
    </xf>
    <xf numFmtId="1" fontId="227" fillId="4" borderId="2" xfId="51" applyNumberFormat="1" applyFont="1" applyFill="1" applyBorder="1"/>
    <xf numFmtId="1" fontId="227" fillId="4" borderId="2" xfId="51" applyNumberFormat="1" applyFont="1" applyFill="1" applyBorder="1" applyAlignment="1">
      <alignment horizontal="center"/>
    </xf>
    <xf numFmtId="0" fontId="227" fillId="4" borderId="0" xfId="51" applyNumberFormat="1" applyFont="1" applyFill="1"/>
    <xf numFmtId="1" fontId="227" fillId="4" borderId="0" xfId="51" applyNumberFormat="1" applyFont="1" applyFill="1" applyBorder="1" applyAlignment="1">
      <alignment horizontal="center"/>
    </xf>
    <xf numFmtId="0" fontId="32" fillId="4" borderId="0" xfId="56" quotePrefix="1" applyNumberFormat="1" applyFont="1" applyFill="1" applyAlignment="1">
      <alignment horizontal="center"/>
    </xf>
    <xf numFmtId="0" fontId="32" fillId="4" borderId="0" xfId="60" applyNumberFormat="1" applyFont="1" applyFill="1" applyAlignment="1">
      <alignment horizontal="left" indent="1"/>
    </xf>
    <xf numFmtId="3" fontId="32" fillId="4" borderId="0" xfId="58" applyNumberFormat="1" applyFont="1" applyFill="1" applyBorder="1" applyAlignment="1">
      <alignment horizontal="center"/>
    </xf>
    <xf numFmtId="1" fontId="32" fillId="4" borderId="0" xfId="51" applyNumberFormat="1" applyFont="1" applyFill="1" applyBorder="1" applyAlignment="1">
      <alignment horizontal="center"/>
    </xf>
    <xf numFmtId="3" fontId="32" fillId="4" borderId="0" xfId="51" applyNumberFormat="1" applyFont="1" applyFill="1" applyBorder="1"/>
    <xf numFmtId="1" fontId="32" fillId="4" borderId="0" xfId="51" applyNumberFormat="1" applyFont="1" applyFill="1" applyBorder="1"/>
    <xf numFmtId="1" fontId="32" fillId="4" borderId="0" xfId="51" applyNumberFormat="1" applyFont="1" applyFill="1"/>
    <xf numFmtId="3" fontId="32" fillId="5" borderId="0" xfId="58" applyNumberFormat="1" applyFont="1" applyFill="1" applyBorder="1"/>
    <xf numFmtId="185" fontId="32" fillId="4" borderId="0" xfId="51" applyNumberFormat="1" applyFont="1" applyFill="1" applyBorder="1"/>
    <xf numFmtId="3" fontId="227" fillId="4" borderId="3" xfId="58" applyNumberFormat="1" applyFont="1" applyFill="1" applyBorder="1"/>
    <xf numFmtId="1" fontId="32" fillId="4" borderId="0" xfId="51" quotePrefix="1" applyNumberFormat="1" applyFont="1" applyFill="1" applyBorder="1" applyAlignment="1">
      <alignment horizontal="center"/>
    </xf>
    <xf numFmtId="2" fontId="32" fillId="4" borderId="0" xfId="51" applyNumberFormat="1" applyFont="1" applyFill="1" applyBorder="1"/>
    <xf numFmtId="2" fontId="227" fillId="4" borderId="0" xfId="51" applyNumberFormat="1" applyFont="1" applyFill="1" applyBorder="1" applyAlignment="1">
      <alignment horizontal="right" indent="1"/>
    </xf>
    <xf numFmtId="3" fontId="235" fillId="4" borderId="0" xfId="58" applyNumberFormat="1" applyFont="1" applyFill="1" applyBorder="1"/>
    <xf numFmtId="1" fontId="32" fillId="5" borderId="0" xfId="51" applyNumberFormat="1" applyFont="1" applyFill="1" applyAlignment="1">
      <alignment horizontal="center"/>
    </xf>
    <xf numFmtId="1" fontId="227" fillId="5" borderId="0" xfId="51" applyNumberFormat="1" applyFont="1" applyFill="1" applyAlignment="1">
      <alignment horizontal="center"/>
    </xf>
    <xf numFmtId="0" fontId="227" fillId="5" borderId="0" xfId="60" applyFont="1" applyFill="1" applyAlignment="1">
      <alignment horizontal="center"/>
    </xf>
    <xf numFmtId="0" fontId="227" fillId="5" borderId="0" xfId="60" quotePrefix="1" applyFont="1" applyFill="1" applyAlignment="1">
      <alignment horizontal="center"/>
    </xf>
    <xf numFmtId="1" fontId="227" fillId="5" borderId="0" xfId="55" applyNumberFormat="1" applyFont="1" applyFill="1" applyAlignment="1">
      <alignment horizontal="center"/>
    </xf>
    <xf numFmtId="1" fontId="227" fillId="5" borderId="2" xfId="51" applyNumberFormat="1" applyFont="1" applyFill="1" applyBorder="1"/>
    <xf numFmtId="1" fontId="227" fillId="5" borderId="2" xfId="51" applyNumberFormat="1" applyFont="1" applyFill="1" applyBorder="1" applyAlignment="1">
      <alignment horizontal="center"/>
    </xf>
    <xf numFmtId="171" fontId="32" fillId="5" borderId="0" xfId="46" applyFont="1" applyFill="1" applyAlignment="1">
      <alignment horizontal="center"/>
    </xf>
    <xf numFmtId="171" fontId="32" fillId="5" borderId="0" xfId="46" applyFont="1" applyFill="1"/>
    <xf numFmtId="3" fontId="32" fillId="5" borderId="0" xfId="57" applyNumberFormat="1" applyFont="1" applyFill="1" applyBorder="1" applyAlignment="1">
      <alignment horizontal="center"/>
    </xf>
    <xf numFmtId="1" fontId="32" fillId="5" borderId="0" xfId="55" applyNumberFormat="1" applyFont="1" applyFill="1" applyAlignment="1">
      <alignment horizontal="center"/>
    </xf>
    <xf numFmtId="0" fontId="227" fillId="5" borderId="0" xfId="46" applyNumberFormat="1" applyFont="1" applyFill="1"/>
    <xf numFmtId="3" fontId="32" fillId="5" borderId="0" xfId="52" applyNumberFormat="1" applyFont="1" applyFill="1"/>
    <xf numFmtId="3" fontId="32" fillId="5" borderId="0" xfId="52" applyNumberFormat="1" applyFont="1" applyFill="1" applyBorder="1"/>
    <xf numFmtId="3" fontId="32" fillId="5" borderId="2" xfId="52" applyNumberFormat="1" applyFont="1" applyFill="1" applyBorder="1"/>
    <xf numFmtId="3" fontId="32" fillId="5" borderId="0" xfId="52" quotePrefix="1" applyNumberFormat="1" applyFont="1" applyFill="1" applyAlignment="1">
      <alignment horizontal="centerContinuous"/>
    </xf>
    <xf numFmtId="3" fontId="227" fillId="5" borderId="0" xfId="52" applyNumberFormat="1" applyFont="1" applyFill="1"/>
    <xf numFmtId="3" fontId="32" fillId="5" borderId="0" xfId="52" quotePrefix="1" applyNumberFormat="1" applyFont="1" applyFill="1" applyAlignment="1">
      <alignment horizontal="center"/>
    </xf>
    <xf numFmtId="3" fontId="32" fillId="5" borderId="3" xfId="52" applyNumberFormat="1" applyFont="1" applyFill="1" applyBorder="1"/>
    <xf numFmtId="3" fontId="227" fillId="5" borderId="3" xfId="52" applyNumberFormat="1" applyFont="1" applyFill="1" applyBorder="1"/>
    <xf numFmtId="0" fontId="32" fillId="5" borderId="0" xfId="60" applyNumberFormat="1" applyFont="1" applyFill="1" applyAlignment="1">
      <alignment horizontal="left"/>
    </xf>
    <xf numFmtId="1" fontId="32" fillId="5" borderId="0" xfId="51" applyNumberFormat="1" applyFont="1" applyFill="1"/>
    <xf numFmtId="3" fontId="32" fillId="5" borderId="0" xfId="57" applyNumberFormat="1" applyFont="1" applyFill="1" applyBorder="1"/>
    <xf numFmtId="3" fontId="32" fillId="5" borderId="0" xfId="52" applyNumberFormat="1" applyFont="1" applyFill="1" applyAlignment="1">
      <alignment horizontal="right" indent="1"/>
    </xf>
    <xf numFmtId="1" fontId="32" fillId="5" borderId="0" xfId="51" applyNumberFormat="1" applyFont="1" applyFill="1" applyBorder="1"/>
    <xf numFmtId="0" fontId="227" fillId="5" borderId="0" xfId="55" applyNumberFormat="1" applyFont="1" applyFill="1"/>
    <xf numFmtId="171" fontId="236" fillId="5" borderId="0" xfId="46" applyFont="1" applyFill="1" applyAlignment="1">
      <alignment horizontal="center"/>
    </xf>
    <xf numFmtId="1" fontId="32" fillId="5" borderId="0" xfId="55" applyNumberFormat="1" applyFont="1" applyFill="1" applyBorder="1" applyAlignment="1">
      <alignment horizontal="centerContinuous"/>
    </xf>
    <xf numFmtId="171" fontId="32" fillId="5" borderId="0" xfId="46" applyFont="1" applyFill="1" applyBorder="1" applyAlignment="1">
      <alignment horizontal="centerContinuous"/>
    </xf>
    <xf numFmtId="3" fontId="32" fillId="5" borderId="0" xfId="46" applyNumberFormat="1" applyFont="1" applyFill="1"/>
    <xf numFmtId="0" fontId="32" fillId="5" borderId="0" xfId="60" applyNumberFormat="1" applyFont="1" applyFill="1" applyAlignment="1">
      <alignment horizontal="left" indent="1"/>
    </xf>
    <xf numFmtId="170" fontId="32" fillId="5" borderId="0" xfId="57" quotePrefix="1" applyNumberFormat="1" applyFont="1" applyFill="1" applyBorder="1" applyAlignment="1">
      <alignment horizontal="center"/>
    </xf>
    <xf numFmtId="0" fontId="32" fillId="5" borderId="0" xfId="52" applyNumberFormat="1" applyFont="1" applyFill="1" applyAlignment="1">
      <alignment horizontal="left" indent="1"/>
    </xf>
    <xf numFmtId="171" fontId="32" fillId="5" borderId="0" xfId="46" applyFont="1" applyFill="1" applyAlignment="1">
      <alignment horizontal="centerContinuous"/>
    </xf>
    <xf numFmtId="10" fontId="32" fillId="5" borderId="0" xfId="1" applyNumberFormat="1" applyFont="1" applyFill="1" applyAlignment="1">
      <alignment horizontal="right" indent="1"/>
    </xf>
    <xf numFmtId="179" fontId="32" fillId="5" borderId="0" xfId="1" applyNumberFormat="1" applyFont="1" applyFill="1"/>
    <xf numFmtId="0" fontId="32" fillId="5" borderId="0" xfId="52" applyNumberFormat="1" applyFont="1" applyFill="1" applyAlignment="1">
      <alignment horizontal="left" indent="2"/>
    </xf>
    <xf numFmtId="3" fontId="227" fillId="5" borderId="0" xfId="52" applyNumberFormat="1" applyFont="1" applyFill="1" applyAlignment="1">
      <alignment horizontal="centerContinuous"/>
    </xf>
    <xf numFmtId="171" fontId="227" fillId="5" borderId="0" xfId="46" applyFont="1" applyFill="1" applyAlignment="1">
      <alignment horizontal="centerContinuous"/>
    </xf>
    <xf numFmtId="3" fontId="227" fillId="5" borderId="3" xfId="52" applyNumberFormat="1" applyFont="1" applyFill="1" applyBorder="1" applyAlignment="1">
      <alignment horizontal="right" indent="1"/>
    </xf>
    <xf numFmtId="3" fontId="227" fillId="5" borderId="0" xfId="52" applyNumberFormat="1" applyFont="1" applyFill="1" applyBorder="1" applyAlignment="1">
      <alignment horizontal="right" indent="1"/>
    </xf>
    <xf numFmtId="171" fontId="227" fillId="5" borderId="0" xfId="46" applyFont="1" applyFill="1"/>
    <xf numFmtId="0" fontId="227" fillId="5" borderId="0" xfId="51" applyNumberFormat="1" applyFont="1" applyFill="1"/>
    <xf numFmtId="0" fontId="32" fillId="5" borderId="0" xfId="60" applyNumberFormat="1" applyFont="1" applyFill="1" applyAlignment="1">
      <alignment horizontal="left" indent="2"/>
    </xf>
    <xf numFmtId="3" fontId="32" fillId="5" borderId="2" xfId="52" applyNumberFormat="1" applyFont="1" applyFill="1" applyBorder="1" applyAlignment="1">
      <alignment horizontal="right" indent="1"/>
    </xf>
    <xf numFmtId="10" fontId="227" fillId="5" borderId="0" xfId="61" applyNumberFormat="1" applyFont="1" applyFill="1" applyBorder="1" applyAlignment="1">
      <alignment horizontal="right" indent="1"/>
    </xf>
    <xf numFmtId="171" fontId="227" fillId="5" borderId="0" xfId="46" applyFont="1" applyFill="1" applyBorder="1" applyAlignment="1">
      <alignment horizontal="centerContinuous"/>
    </xf>
    <xf numFmtId="3" fontId="32" fillId="5" borderId="0" xfId="52" applyNumberFormat="1" applyFont="1" applyFill="1" applyBorder="1" applyAlignment="1">
      <alignment horizontal="right" indent="1"/>
    </xf>
    <xf numFmtId="10" fontId="32" fillId="5" borderId="0" xfId="61" applyNumberFormat="1" applyFont="1" applyFill="1" applyBorder="1" applyAlignment="1">
      <alignment horizontal="right" indent="1"/>
    </xf>
    <xf numFmtId="4" fontId="227" fillId="5" borderId="0" xfId="46" applyNumberFormat="1" applyFont="1" applyFill="1"/>
    <xf numFmtId="170" fontId="227" fillId="5" borderId="0" xfId="46" applyNumberFormat="1" applyFont="1" applyFill="1"/>
    <xf numFmtId="3" fontId="32" fillId="5" borderId="0" xfId="52" applyNumberFormat="1" applyFont="1" applyFill="1" applyAlignment="1">
      <alignment horizontal="center"/>
    </xf>
    <xf numFmtId="3" fontId="32" fillId="5" borderId="0" xfId="57" quotePrefix="1" applyNumberFormat="1" applyFont="1" applyFill="1" applyBorder="1" applyAlignment="1">
      <alignment horizontal="left" indent="1"/>
    </xf>
    <xf numFmtId="3" fontId="32" fillId="5" borderId="0" xfId="57" quotePrefix="1" applyNumberFormat="1" applyFont="1" applyFill="1" applyBorder="1" applyAlignment="1">
      <alignment horizontal="center"/>
    </xf>
    <xf numFmtId="4" fontId="227" fillId="5" borderId="0" xfId="57" applyNumberFormat="1" applyFont="1" applyFill="1" applyBorder="1"/>
    <xf numFmtId="170" fontId="227" fillId="5" borderId="0" xfId="57" applyNumberFormat="1" applyFont="1" applyFill="1" applyBorder="1"/>
    <xf numFmtId="0" fontId="32" fillId="5" borderId="0" xfId="46" quotePrefix="1" applyNumberFormat="1" applyFont="1" applyFill="1"/>
    <xf numFmtId="2" fontId="227" fillId="5" borderId="0" xfId="52" applyNumberFormat="1" applyFont="1" applyFill="1" applyAlignment="1">
      <alignment horizontal="center" vertical="center"/>
    </xf>
    <xf numFmtId="2" fontId="32" fillId="5" borderId="0" xfId="51" applyNumberFormat="1" applyFont="1" applyFill="1"/>
    <xf numFmtId="1" fontId="227" fillId="5" borderId="0" xfId="51" applyNumberFormat="1" applyFont="1" applyFill="1" applyBorder="1" applyAlignment="1">
      <alignment horizontal="center"/>
    </xf>
    <xf numFmtId="3" fontId="227" fillId="5" borderId="0" xfId="57" applyNumberFormat="1" applyFont="1" applyFill="1" applyBorder="1"/>
    <xf numFmtId="1" fontId="32" fillId="5" borderId="0" xfId="51" applyNumberFormat="1" applyFont="1" applyFill="1" applyBorder="1" applyAlignment="1">
      <alignment horizontal="center"/>
    </xf>
    <xf numFmtId="171" fontId="227" fillId="5" borderId="3" xfId="57" applyNumberFormat="1" applyFont="1" applyFill="1" applyBorder="1"/>
    <xf numFmtId="1" fontId="32" fillId="5" borderId="0" xfId="51" quotePrefix="1" applyNumberFormat="1" applyFont="1" applyFill="1" applyBorder="1" applyAlignment="1">
      <alignment horizontal="center"/>
    </xf>
    <xf numFmtId="2" fontId="32" fillId="5" borderId="0" xfId="51" applyNumberFormat="1" applyFont="1" applyFill="1" applyBorder="1"/>
    <xf numFmtId="2" fontId="32" fillId="5" borderId="0" xfId="51" applyNumberFormat="1" applyFont="1" applyFill="1" applyBorder="1" applyAlignment="1">
      <alignment horizontal="right" indent="1"/>
    </xf>
    <xf numFmtId="166" fontId="227" fillId="5" borderId="0" xfId="51" applyNumberFormat="1" applyFont="1" applyFill="1" applyBorder="1" applyAlignment="1">
      <alignment horizontal="right" indent="1"/>
    </xf>
    <xf numFmtId="1" fontId="32" fillId="5" borderId="0" xfId="52" applyNumberFormat="1" applyFont="1" applyFill="1" applyAlignment="1">
      <alignment horizontal="center"/>
    </xf>
    <xf numFmtId="0" fontId="32" fillId="5" borderId="0" xfId="51" applyFont="1" applyFill="1"/>
    <xf numFmtId="41" fontId="227" fillId="5" borderId="0" xfId="57" applyNumberFormat="1" applyFont="1" applyFill="1" applyBorder="1"/>
    <xf numFmtId="41" fontId="32" fillId="5" borderId="0" xfId="57" applyNumberFormat="1" applyFont="1" applyFill="1" applyBorder="1"/>
    <xf numFmtId="41" fontId="32" fillId="5" borderId="0" xfId="51" applyNumberFormat="1" applyFont="1" applyFill="1"/>
    <xf numFmtId="164" fontId="32" fillId="5" borderId="2" xfId="57" applyNumberFormat="1" applyFont="1" applyFill="1" applyBorder="1"/>
    <xf numFmtId="166" fontId="32" fillId="5" borderId="0" xfId="51" applyNumberFormat="1" applyFont="1" applyFill="1" applyBorder="1"/>
    <xf numFmtId="0" fontId="32" fillId="5" borderId="0" xfId="51" applyNumberFormat="1" applyFont="1" applyFill="1" applyBorder="1" applyAlignment="1">
      <alignment horizontal="left" indent="1"/>
    </xf>
    <xf numFmtId="41" fontId="32" fillId="5" borderId="0" xfId="51" applyNumberFormat="1" applyFont="1" applyFill="1" applyBorder="1"/>
    <xf numFmtId="0" fontId="32" fillId="5" borderId="0" xfId="51" applyNumberFormat="1" applyFont="1" applyFill="1" applyBorder="1" applyAlignment="1">
      <alignment horizontal="left" indent="2"/>
    </xf>
    <xf numFmtId="2" fontId="227" fillId="5" borderId="0" xfId="51" applyNumberFormat="1" applyFont="1" applyFill="1"/>
    <xf numFmtId="41" fontId="227" fillId="5" borderId="0" xfId="51" applyNumberFormat="1" applyFont="1" applyFill="1"/>
    <xf numFmtId="41" fontId="32" fillId="5" borderId="3" xfId="51" applyNumberFormat="1" applyFont="1" applyFill="1" applyBorder="1"/>
    <xf numFmtId="166" fontId="227" fillId="5" borderId="0" xfId="51" applyNumberFormat="1" applyFont="1" applyFill="1" applyBorder="1"/>
    <xf numFmtId="41" fontId="227" fillId="5" borderId="2" xfId="57" applyNumberFormat="1" applyFont="1" applyFill="1" applyBorder="1"/>
    <xf numFmtId="41" fontId="32" fillId="5" borderId="2" xfId="57" applyNumberFormat="1" applyFont="1" applyFill="1" applyBorder="1"/>
    <xf numFmtId="2" fontId="227" fillId="5" borderId="0" xfId="51" applyNumberFormat="1" applyFont="1" applyFill="1" applyBorder="1"/>
    <xf numFmtId="0" fontId="201" fillId="7" borderId="0" xfId="55" quotePrefix="1" applyNumberFormat="1" applyFont="1" applyFill="1" applyAlignment="1">
      <alignment horizontal="center"/>
    </xf>
    <xf numFmtId="3" fontId="32" fillId="5" borderId="0" xfId="57" applyNumberFormat="1" applyFont="1" applyFill="1" applyBorder="1" applyAlignment="1">
      <alignment horizontal="left"/>
    </xf>
    <xf numFmtId="3" fontId="32" fillId="5" borderId="3" xfId="57" applyNumberFormat="1" applyFont="1" applyFill="1" applyBorder="1"/>
    <xf numFmtId="170" fontId="32" fillId="5" borderId="0" xfId="57" applyNumberFormat="1" applyFont="1" applyFill="1" applyBorder="1" applyAlignment="1">
      <alignment horizontal="right"/>
    </xf>
    <xf numFmtId="170" fontId="32" fillId="5" borderId="0" xfId="57" applyNumberFormat="1" applyFont="1" applyFill="1" applyBorder="1"/>
    <xf numFmtId="170" fontId="228" fillId="5" borderId="0" xfId="57" applyNumberFormat="1" applyFont="1" applyFill="1" applyBorder="1"/>
    <xf numFmtId="4" fontId="32" fillId="5" borderId="0" xfId="57" applyNumberFormat="1" applyFont="1" applyFill="1" applyBorder="1" applyAlignment="1">
      <alignment horizontal="right"/>
    </xf>
    <xf numFmtId="170" fontId="32" fillId="5" borderId="0" xfId="57" applyNumberFormat="1" applyFont="1" applyFill="1" applyBorder="1" applyAlignment="1">
      <alignment horizontal="center"/>
    </xf>
    <xf numFmtId="3" fontId="32" fillId="5" borderId="2" xfId="57" applyNumberFormat="1" applyFont="1" applyFill="1" applyBorder="1"/>
    <xf numFmtId="10" fontId="227" fillId="5" borderId="0" xfId="61" applyNumberFormat="1" applyFont="1" applyFill="1" applyBorder="1"/>
    <xf numFmtId="10" fontId="32" fillId="5" borderId="0" xfId="61" applyNumberFormat="1" applyFont="1" applyFill="1" applyBorder="1"/>
    <xf numFmtId="164" fontId="32" fillId="5" borderId="0" xfId="1" applyNumberFormat="1" applyFont="1" applyFill="1"/>
    <xf numFmtId="166" fontId="32" fillId="5" borderId="0" xfId="51" applyNumberFormat="1" applyFont="1" applyFill="1"/>
    <xf numFmtId="4" fontId="32" fillId="5" borderId="0" xfId="57" applyNumberFormat="1" applyFont="1" applyFill="1" applyBorder="1"/>
    <xf numFmtId="43" fontId="32" fillId="5" borderId="0" xfId="1" applyFont="1" applyFill="1"/>
    <xf numFmtId="177" fontId="32" fillId="5" borderId="0" xfId="1" applyNumberFormat="1" applyFont="1" applyFill="1"/>
    <xf numFmtId="3" fontId="32" fillId="5" borderId="0" xfId="57" applyNumberFormat="1" applyFont="1" applyFill="1" applyBorder="1" applyAlignment="1">
      <alignment horizontal="right"/>
    </xf>
    <xf numFmtId="3" fontId="32" fillId="5" borderId="3" xfId="57" applyNumberFormat="1" applyFont="1" applyFill="1" applyBorder="1" applyAlignment="1">
      <alignment horizontal="right"/>
    </xf>
    <xf numFmtId="1" fontId="227" fillId="5" borderId="0" xfId="51" applyNumberFormat="1" applyFont="1" applyFill="1"/>
    <xf numFmtId="1" fontId="227" fillId="5" borderId="0" xfId="51" applyNumberFormat="1" applyFont="1" applyFill="1" applyBorder="1"/>
    <xf numFmtId="0" fontId="227" fillId="5" borderId="0" xfId="51" applyNumberFormat="1" applyFont="1" applyFill="1" applyBorder="1"/>
    <xf numFmtId="0" fontId="32" fillId="5" borderId="0" xfId="60" applyNumberFormat="1" applyFont="1" applyFill="1" applyBorder="1" applyAlignment="1">
      <alignment horizontal="left" indent="1"/>
    </xf>
    <xf numFmtId="3" fontId="227" fillId="5" borderId="0" xfId="57" applyNumberFormat="1" applyFont="1" applyFill="1" applyBorder="1" applyAlignment="1">
      <alignment horizontal="center"/>
    </xf>
    <xf numFmtId="41" fontId="32" fillId="5" borderId="2" xfId="57" applyNumberFormat="1" applyFont="1" applyFill="1" applyBorder="1" applyAlignment="1">
      <alignment horizontal="center"/>
    </xf>
    <xf numFmtId="0" fontId="32" fillId="5" borderId="0" xfId="51" applyFont="1" applyFill="1" applyBorder="1"/>
    <xf numFmtId="0" fontId="32" fillId="5" borderId="0" xfId="60" applyNumberFormat="1" applyFont="1" applyFill="1" applyBorder="1" applyAlignment="1">
      <alignment horizontal="left" indent="2"/>
    </xf>
    <xf numFmtId="41" fontId="32" fillId="5" borderId="0" xfId="57" applyNumberFormat="1" applyFont="1" applyFill="1" applyBorder="1" applyAlignment="1">
      <alignment horizontal="center"/>
    </xf>
    <xf numFmtId="166" fontId="32" fillId="5" borderId="0" xfId="51" applyNumberFormat="1" applyFont="1" applyFill="1" applyBorder="1" applyAlignment="1">
      <alignment horizontal="right" indent="1"/>
    </xf>
    <xf numFmtId="165" fontId="32" fillId="5" borderId="0" xfId="51" applyNumberFormat="1" applyFont="1" applyFill="1" applyBorder="1" applyAlignment="1">
      <alignment horizontal="center"/>
    </xf>
    <xf numFmtId="41" fontId="227" fillId="5" borderId="0" xfId="57" applyNumberFormat="1" applyFont="1" applyFill="1" applyBorder="1" applyAlignment="1">
      <alignment horizontal="center"/>
    </xf>
    <xf numFmtId="9" fontId="32" fillId="5" borderId="0" xfId="57" applyNumberFormat="1" applyFont="1" applyFill="1" applyBorder="1" applyAlignment="1">
      <alignment horizontal="center"/>
    </xf>
    <xf numFmtId="165" fontId="32" fillId="5" borderId="0" xfId="57" applyNumberFormat="1" applyFont="1" applyFill="1" applyBorder="1" applyAlignment="1">
      <alignment horizontal="left"/>
    </xf>
    <xf numFmtId="37" fontId="227" fillId="5" borderId="0" xfId="57" applyNumberFormat="1" applyFont="1" applyFill="1" applyBorder="1"/>
    <xf numFmtId="37" fontId="32" fillId="5" borderId="0" xfId="57" applyNumberFormat="1" applyFont="1" applyFill="1" applyBorder="1"/>
    <xf numFmtId="165" fontId="32" fillId="5" borderId="0" xfId="57" applyNumberFormat="1" applyFont="1" applyFill="1" applyBorder="1" applyAlignment="1">
      <alignment horizontal="center"/>
    </xf>
    <xf numFmtId="9" fontId="32" fillId="5" borderId="0" xfId="51" applyNumberFormat="1" applyFont="1" applyFill="1" applyBorder="1" applyAlignment="1">
      <alignment horizontal="center"/>
    </xf>
    <xf numFmtId="0" fontId="227" fillId="5" borderId="0" xfId="60" applyNumberFormat="1" applyFont="1" applyFill="1" applyBorder="1" applyAlignment="1">
      <alignment horizontal="left" indent="1"/>
    </xf>
    <xf numFmtId="37" fontId="32" fillId="5" borderId="2" xfId="57" applyNumberFormat="1" applyFont="1" applyFill="1" applyBorder="1"/>
    <xf numFmtId="2" fontId="32" fillId="5" borderId="0" xfId="51" quotePrefix="1" applyNumberFormat="1" applyFont="1" applyFill="1" applyAlignment="1">
      <alignment horizontal="center"/>
    </xf>
    <xf numFmtId="1" fontId="32" fillId="5" borderId="0" xfId="51" quotePrefix="1" applyNumberFormat="1" applyFont="1" applyFill="1"/>
    <xf numFmtId="2" fontId="39" fillId="5" borderId="0" xfId="60" applyNumberFormat="1" applyFont="1" applyFill="1"/>
    <xf numFmtId="1" fontId="238" fillId="5" borderId="0" xfId="51" applyNumberFormat="1" applyFont="1" applyFill="1" applyAlignment="1">
      <alignment horizontal="center"/>
    </xf>
    <xf numFmtId="0" fontId="238" fillId="5" borderId="0" xfId="60" applyFont="1" applyFill="1" applyAlignment="1">
      <alignment horizontal="center"/>
    </xf>
    <xf numFmtId="1" fontId="238" fillId="5" borderId="2" xfId="60" applyNumberFormat="1" applyFont="1" applyFill="1" applyBorder="1" applyAlignment="1">
      <alignment horizontal="left"/>
    </xf>
    <xf numFmtId="1" fontId="238" fillId="5" borderId="2" xfId="60" applyNumberFormat="1" applyFont="1" applyFill="1" applyBorder="1" applyAlignment="1">
      <alignment horizontal="center"/>
    </xf>
    <xf numFmtId="17" fontId="238" fillId="5" borderId="2" xfId="60" applyNumberFormat="1" applyFont="1" applyFill="1" applyBorder="1" applyAlignment="1">
      <alignment horizontal="center"/>
    </xf>
    <xf numFmtId="0" fontId="39" fillId="5" borderId="0" xfId="55" quotePrefix="1" applyNumberFormat="1" applyFont="1" applyFill="1" applyAlignment="1">
      <alignment horizontal="center"/>
    </xf>
    <xf numFmtId="0" fontId="39" fillId="5" borderId="0" xfId="60" applyNumberFormat="1" applyFont="1" applyFill="1" applyAlignment="1">
      <alignment horizontal="left" indent="1"/>
    </xf>
    <xf numFmtId="1" fontId="39" fillId="5" borderId="0" xfId="60" applyNumberFormat="1" applyFont="1" applyFill="1" applyAlignment="1">
      <alignment horizontal="center"/>
    </xf>
    <xf numFmtId="0" fontId="39" fillId="5" borderId="0" xfId="60" applyFont="1" applyFill="1" applyAlignment="1">
      <alignment horizontal="center"/>
    </xf>
    <xf numFmtId="1" fontId="39" fillId="5" borderId="0" xfId="60" applyNumberFormat="1" applyFont="1" applyFill="1"/>
    <xf numFmtId="0" fontId="238" fillId="5" borderId="0" xfId="60" applyNumberFormat="1" applyFont="1" applyFill="1"/>
    <xf numFmtId="1" fontId="238" fillId="5" borderId="0" xfId="60" applyNumberFormat="1" applyFont="1" applyFill="1" applyBorder="1" applyAlignment="1">
      <alignment horizontal="center"/>
    </xf>
    <xf numFmtId="1" fontId="39" fillId="5" borderId="0" xfId="60" applyNumberFormat="1" applyFont="1" applyFill="1" applyBorder="1" applyAlignment="1">
      <alignment horizontal="center"/>
    </xf>
    <xf numFmtId="0" fontId="238" fillId="5" borderId="0" xfId="60" applyFont="1" applyFill="1" applyBorder="1" applyAlignment="1">
      <alignment horizontal="center"/>
    </xf>
    <xf numFmtId="0" fontId="39" fillId="5" borderId="0" xfId="60" applyFont="1" applyFill="1"/>
    <xf numFmtId="0" fontId="238" fillId="5" borderId="0" xfId="60" applyNumberFormat="1" applyFont="1" applyFill="1" applyAlignment="1">
      <alignment horizontal="left" indent="1"/>
    </xf>
    <xf numFmtId="3" fontId="39" fillId="5" borderId="0" xfId="60" applyNumberFormat="1" applyFont="1" applyFill="1" applyAlignment="1">
      <alignment horizontal="center"/>
    </xf>
    <xf numFmtId="3" fontId="238" fillId="5" borderId="0" xfId="60" applyNumberFormat="1" applyFont="1" applyFill="1"/>
    <xf numFmtId="3" fontId="39" fillId="5" borderId="2" xfId="60" applyNumberFormat="1" applyFont="1" applyFill="1" applyBorder="1" applyAlignment="1">
      <alignment horizontal="center"/>
    </xf>
    <xf numFmtId="3" fontId="238" fillId="5" borderId="2" xfId="60" applyNumberFormat="1" applyFont="1" applyFill="1" applyBorder="1"/>
    <xf numFmtId="0" fontId="238" fillId="5" borderId="0" xfId="60" applyNumberFormat="1" applyFont="1" applyFill="1" applyAlignment="1">
      <alignment horizontal="left" indent="2"/>
    </xf>
    <xf numFmtId="3" fontId="238" fillId="5" borderId="0" xfId="60" applyNumberFormat="1" applyFont="1" applyFill="1" applyAlignment="1">
      <alignment horizontal="center"/>
    </xf>
    <xf numFmtId="1" fontId="238" fillId="5" borderId="0" xfId="60" applyNumberFormat="1" applyFont="1" applyFill="1" applyAlignment="1">
      <alignment horizontal="center"/>
    </xf>
    <xf numFmtId="1" fontId="238" fillId="5" borderId="0" xfId="60" applyNumberFormat="1" applyFont="1" applyFill="1"/>
    <xf numFmtId="2" fontId="39" fillId="5" borderId="0" xfId="55" quotePrefix="1" applyNumberFormat="1" applyFont="1" applyFill="1" applyAlignment="1">
      <alignment horizontal="center"/>
    </xf>
    <xf numFmtId="2" fontId="39" fillId="5" borderId="0" xfId="60" quotePrefix="1" applyNumberFormat="1" applyFont="1" applyFill="1" applyAlignment="1">
      <alignment horizontal="center"/>
    </xf>
    <xf numFmtId="0" fontId="238" fillId="5" borderId="2" xfId="60" applyNumberFormat="1" applyFont="1" applyFill="1" applyBorder="1"/>
    <xf numFmtId="0" fontId="238" fillId="5" borderId="0" xfId="60" applyNumberFormat="1" applyFont="1" applyFill="1" applyAlignment="1">
      <alignment horizontal="left"/>
    </xf>
    <xf numFmtId="1" fontId="238" fillId="5" borderId="0" xfId="60" applyNumberFormat="1" applyFont="1" applyFill="1" applyBorder="1" applyAlignment="1">
      <alignment horizontal="right"/>
    </xf>
    <xf numFmtId="0" fontId="238" fillId="5" borderId="0" xfId="60" applyFont="1" applyFill="1" applyBorder="1" applyAlignment="1">
      <alignment horizontal="right"/>
    </xf>
    <xf numFmtId="0" fontId="238" fillId="5" borderId="0" xfId="60" applyFont="1" applyFill="1"/>
    <xf numFmtId="0" fontId="39" fillId="5" borderId="0" xfId="60" applyNumberFormat="1" applyFont="1" applyFill="1" applyAlignment="1">
      <alignment horizontal="left" indent="2"/>
    </xf>
    <xf numFmtId="3" fontId="39" fillId="5" borderId="0" xfId="60" applyNumberFormat="1" applyFont="1" applyFill="1"/>
    <xf numFmtId="0" fontId="39" fillId="5" borderId="0" xfId="60" applyNumberFormat="1" applyFont="1" applyFill="1" applyAlignment="1">
      <alignment horizontal="left" indent="3"/>
    </xf>
    <xf numFmtId="3" fontId="39" fillId="5" borderId="2" xfId="60" applyNumberFormat="1" applyFont="1" applyFill="1" applyBorder="1"/>
    <xf numFmtId="3" fontId="238" fillId="5" borderId="0" xfId="60" applyNumberFormat="1" applyFont="1" applyFill="1" applyBorder="1"/>
    <xf numFmtId="3" fontId="39" fillId="5" borderId="0" xfId="60" applyNumberFormat="1" applyFont="1" applyFill="1" applyBorder="1"/>
    <xf numFmtId="3" fontId="238" fillId="5" borderId="3" xfId="60" applyNumberFormat="1" applyFont="1" applyFill="1" applyBorder="1"/>
    <xf numFmtId="1" fontId="39" fillId="5" borderId="0" xfId="51" applyNumberFormat="1" applyFont="1" applyFill="1"/>
    <xf numFmtId="0" fontId="39" fillId="5" borderId="0" xfId="51" applyNumberFormat="1" applyFont="1" applyFill="1"/>
    <xf numFmtId="0" fontId="39" fillId="5" borderId="0" xfId="57" applyFont="1" applyFill="1"/>
    <xf numFmtId="0" fontId="238" fillId="5" borderId="0" xfId="51" applyNumberFormat="1" applyFont="1" applyFill="1" applyBorder="1"/>
    <xf numFmtId="1" fontId="238" fillId="5" borderId="0" xfId="51" applyNumberFormat="1" applyFont="1" applyFill="1" applyBorder="1" applyAlignment="1">
      <alignment horizontal="center"/>
    </xf>
    <xf numFmtId="1" fontId="238" fillId="5" borderId="2" xfId="51" applyNumberFormat="1" applyFont="1" applyFill="1" applyBorder="1" applyAlignment="1">
      <alignment horizontal="center"/>
    </xf>
    <xf numFmtId="1" fontId="39" fillId="5" borderId="0" xfId="52" applyNumberFormat="1" applyFont="1" applyFill="1" applyAlignment="1">
      <alignment horizontal="center"/>
    </xf>
    <xf numFmtId="0" fontId="238" fillId="5" borderId="0" xfId="53" applyNumberFormat="1" applyFont="1" applyFill="1" applyBorder="1"/>
    <xf numFmtId="1" fontId="39" fillId="5" borderId="0" xfId="52" applyNumberFormat="1" applyFont="1" applyFill="1" applyAlignment="1">
      <alignment horizontal="center" vertical="top"/>
    </xf>
    <xf numFmtId="167" fontId="39" fillId="5" borderId="0" xfId="51" applyNumberFormat="1" applyFont="1" applyFill="1" applyAlignment="1">
      <alignment horizontal="left" indent="1"/>
    </xf>
    <xf numFmtId="3" fontId="39" fillId="5" borderId="0" xfId="51" applyNumberFormat="1" applyFont="1" applyFill="1" applyBorder="1"/>
    <xf numFmtId="167" fontId="39" fillId="5" borderId="0" xfId="51" applyNumberFormat="1" applyFont="1" applyFill="1" applyBorder="1" applyAlignment="1">
      <alignment horizontal="left" indent="1"/>
    </xf>
    <xf numFmtId="0" fontId="238" fillId="5" borderId="0" xfId="51" applyNumberFormat="1" applyFont="1" applyFill="1" applyBorder="1" applyAlignment="1">
      <alignment horizontal="left" indent="2"/>
    </xf>
    <xf numFmtId="3" fontId="238" fillId="5" borderId="3" xfId="57" applyNumberFormat="1" applyFont="1" applyFill="1" applyBorder="1"/>
    <xf numFmtId="0" fontId="238" fillId="5" borderId="0" xfId="53" applyNumberFormat="1" applyFont="1" applyFill="1" applyBorder="1" applyAlignment="1"/>
    <xf numFmtId="1" fontId="39" fillId="5" borderId="0" xfId="51" applyNumberFormat="1" applyFont="1" applyFill="1" applyBorder="1"/>
    <xf numFmtId="3" fontId="39" fillId="5" borderId="0" xfId="57" applyNumberFormat="1" applyFont="1" applyFill="1" applyBorder="1"/>
    <xf numFmtId="0" fontId="238" fillId="5" borderId="0" xfId="51" applyNumberFormat="1" applyFont="1" applyFill="1" applyAlignment="1">
      <alignment horizontal="left" indent="2"/>
    </xf>
    <xf numFmtId="1" fontId="39" fillId="5" borderId="0" xfId="51" applyNumberFormat="1" applyFont="1" applyFill="1" applyAlignment="1">
      <alignment horizontal="center"/>
    </xf>
    <xf numFmtId="1" fontId="39" fillId="5" borderId="0" xfId="51" applyNumberFormat="1" applyFont="1" applyFill="1" applyAlignment="1">
      <alignment horizontal="center" vertical="top"/>
    </xf>
    <xf numFmtId="0" fontId="39" fillId="5" borderId="0" xfId="55" applyFont="1" applyFill="1"/>
    <xf numFmtId="166" fontId="238" fillId="5" borderId="0" xfId="59" applyNumberFormat="1" applyFont="1" applyFill="1" applyAlignment="1">
      <alignment horizontal="center"/>
    </xf>
    <xf numFmtId="172" fontId="238" fillId="5" borderId="0" xfId="50" applyNumberFormat="1" applyFont="1" applyFill="1" applyBorder="1" applyAlignment="1">
      <alignment horizontal="center"/>
    </xf>
    <xf numFmtId="1" fontId="39" fillId="5" borderId="0" xfId="55" applyNumberFormat="1" applyFont="1" applyFill="1"/>
    <xf numFmtId="0" fontId="238" fillId="5" borderId="0" xfId="55" applyNumberFormat="1" applyFont="1" applyFill="1"/>
    <xf numFmtId="1" fontId="238" fillId="5" borderId="2" xfId="55" applyNumberFormat="1" applyFont="1" applyFill="1" applyBorder="1" applyAlignment="1">
      <alignment horizontal="center"/>
    </xf>
    <xf numFmtId="0" fontId="238" fillId="5" borderId="2" xfId="55" applyFont="1" applyFill="1" applyBorder="1" applyAlignment="1">
      <alignment horizontal="center"/>
    </xf>
    <xf numFmtId="0" fontId="39" fillId="5" borderId="0" xfId="55" applyFont="1" applyFill="1" applyAlignment="1">
      <alignment horizontal="center"/>
    </xf>
    <xf numFmtId="1" fontId="39" fillId="5" borderId="0" xfId="55" applyNumberFormat="1" applyFont="1" applyFill="1" applyAlignment="1">
      <alignment vertical="top"/>
    </xf>
    <xf numFmtId="0" fontId="39" fillId="5" borderId="0" xfId="55" applyNumberFormat="1" applyFont="1" applyFill="1" applyAlignment="1">
      <alignment vertical="top"/>
    </xf>
    <xf numFmtId="1" fontId="39" fillId="5" borderId="0" xfId="55" quotePrefix="1" applyNumberFormat="1" applyFont="1" applyFill="1" applyBorder="1" applyAlignment="1">
      <alignment horizontal="center" vertical="top"/>
    </xf>
    <xf numFmtId="0" fontId="39" fillId="5" borderId="0" xfId="55" applyFont="1" applyFill="1" applyAlignment="1">
      <alignment vertical="top"/>
    </xf>
    <xf numFmtId="1" fontId="39" fillId="5" borderId="0" xfId="55" quotePrefix="1" applyNumberFormat="1" applyFont="1" applyFill="1" applyAlignment="1">
      <alignment horizontal="center"/>
    </xf>
    <xf numFmtId="0" fontId="39" fillId="5" borderId="0" xfId="55" applyNumberFormat="1" applyFont="1" applyFill="1" applyAlignment="1">
      <alignment horizontal="left"/>
    </xf>
    <xf numFmtId="164" fontId="39" fillId="5" borderId="0" xfId="55" applyNumberFormat="1" applyFont="1" applyFill="1"/>
    <xf numFmtId="165" fontId="39" fillId="5" borderId="0" xfId="55" applyNumberFormat="1" applyFont="1" applyFill="1" applyAlignment="1">
      <alignment horizontal="right"/>
    </xf>
    <xf numFmtId="166" fontId="39" fillId="5" borderId="0" xfId="55" applyNumberFormat="1" applyFont="1" applyFill="1"/>
    <xf numFmtId="0" fontId="238" fillId="5" borderId="0" xfId="55" applyNumberFormat="1" applyFont="1" applyFill="1" applyAlignment="1">
      <alignment horizontal="left" indent="1"/>
    </xf>
    <xf numFmtId="164" fontId="238" fillId="5" borderId="0" xfId="1" applyNumberFormat="1" applyFont="1" applyFill="1"/>
    <xf numFmtId="10" fontId="39" fillId="5" borderId="0" xfId="55" applyNumberFormat="1" applyFont="1" applyFill="1"/>
    <xf numFmtId="165" fontId="39" fillId="5" borderId="0" xfId="55" applyNumberFormat="1" applyFont="1" applyFill="1"/>
    <xf numFmtId="1" fontId="39" fillId="5" borderId="0" xfId="50" applyNumberFormat="1" applyFont="1" applyFill="1" applyBorder="1" applyAlignment="1">
      <alignment horizontal="center"/>
    </xf>
    <xf numFmtId="0" fontId="238" fillId="5" borderId="0" xfId="59" applyNumberFormat="1" applyFont="1" applyFill="1" applyAlignment="1">
      <alignment horizontal="center"/>
    </xf>
    <xf numFmtId="0" fontId="238" fillId="5" borderId="0" xfId="49" applyNumberFormat="1" applyFont="1" applyFill="1" applyBorder="1"/>
    <xf numFmtId="0" fontId="39" fillId="5" borderId="0" xfId="50" applyFont="1" applyFill="1" applyBorder="1"/>
    <xf numFmtId="1" fontId="39" fillId="5" borderId="0" xfId="50" applyNumberFormat="1" applyFont="1" applyFill="1" applyBorder="1"/>
    <xf numFmtId="172" fontId="39" fillId="5" borderId="0" xfId="50" applyNumberFormat="1" applyFont="1" applyFill="1" applyBorder="1"/>
    <xf numFmtId="0" fontId="238" fillId="5" borderId="0" xfId="50" applyFont="1" applyFill="1" applyBorder="1" applyAlignment="1">
      <alignment horizontal="center"/>
    </xf>
    <xf numFmtId="0" fontId="39" fillId="5" borderId="0" xfId="50" applyNumberFormat="1" applyFont="1" applyFill="1" applyBorder="1"/>
    <xf numFmtId="172" fontId="238" fillId="5" borderId="2" xfId="50" applyNumberFormat="1" applyFont="1" applyFill="1" applyBorder="1" applyAlignment="1">
      <alignment horizontal="left"/>
    </xf>
    <xf numFmtId="1" fontId="238" fillId="5" borderId="2" xfId="50" applyNumberFormat="1" applyFont="1" applyFill="1" applyBorder="1" applyAlignment="1">
      <alignment horizontal="center"/>
    </xf>
    <xf numFmtId="172" fontId="238" fillId="5" borderId="2" xfId="50" applyNumberFormat="1" applyFont="1" applyFill="1" applyBorder="1" applyAlignment="1">
      <alignment horizontal="center"/>
    </xf>
    <xf numFmtId="172" fontId="238" fillId="5" borderId="2" xfId="50" applyNumberFormat="1" applyFont="1" applyFill="1" applyBorder="1" applyAlignment="1"/>
    <xf numFmtId="180" fontId="39" fillId="5" borderId="0" xfId="50" applyNumberFormat="1" applyFont="1" applyFill="1" applyBorder="1" applyAlignment="1">
      <alignment horizontal="center"/>
    </xf>
    <xf numFmtId="174" fontId="39" fillId="5" borderId="0" xfId="50" applyNumberFormat="1" applyFont="1" applyFill="1" applyBorder="1" applyAlignment="1">
      <alignment horizontal="center"/>
    </xf>
    <xf numFmtId="1" fontId="238" fillId="5" borderId="0" xfId="50" applyNumberFormat="1" applyFont="1" applyFill="1" applyBorder="1"/>
    <xf numFmtId="0" fontId="238" fillId="5" borderId="0" xfId="50" applyNumberFormat="1" applyFont="1" applyFill="1" applyBorder="1"/>
    <xf numFmtId="3" fontId="238" fillId="5" borderId="0" xfId="50" applyNumberFormat="1" applyFont="1" applyFill="1" applyBorder="1" applyAlignment="1">
      <alignment horizontal="center"/>
    </xf>
    <xf numFmtId="3" fontId="39" fillId="5" borderId="0" xfId="50" applyNumberFormat="1" applyFont="1" applyFill="1" applyBorder="1" applyAlignment="1">
      <alignment horizontal="center"/>
    </xf>
    <xf numFmtId="0" fontId="238" fillId="5" borderId="0" xfId="50" applyFont="1" applyFill="1" applyBorder="1"/>
    <xf numFmtId="3" fontId="238" fillId="5" borderId="2" xfId="50" applyNumberFormat="1" applyFont="1" applyFill="1" applyBorder="1" applyAlignment="1">
      <alignment horizontal="center"/>
    </xf>
    <xf numFmtId="3" fontId="39" fillId="5" borderId="0" xfId="55" quotePrefix="1" applyNumberFormat="1" applyFont="1" applyFill="1" applyBorder="1" applyAlignment="1">
      <alignment horizontal="center" vertical="top"/>
    </xf>
    <xf numFmtId="3" fontId="39" fillId="5" borderId="0" xfId="1" applyNumberFormat="1" applyFont="1" applyFill="1" applyAlignment="1">
      <alignment horizontal="center"/>
    </xf>
    <xf numFmtId="164" fontId="39" fillId="5" borderId="0" xfId="1" applyNumberFormat="1" applyFont="1" applyFill="1"/>
    <xf numFmtId="164" fontId="39" fillId="5" borderId="0" xfId="1" applyNumberFormat="1" applyFont="1" applyFill="1" applyBorder="1"/>
    <xf numFmtId="3" fontId="238" fillId="5" borderId="0" xfId="1" applyNumberFormat="1" applyFont="1" applyFill="1" applyBorder="1" applyAlignment="1">
      <alignment horizontal="center"/>
    </xf>
    <xf numFmtId="164" fontId="238" fillId="5" borderId="0" xfId="1" applyNumberFormat="1" applyFont="1" applyFill="1" applyBorder="1"/>
    <xf numFmtId="3" fontId="238" fillId="5" borderId="0" xfId="59" applyNumberFormat="1" applyFont="1" applyFill="1" applyAlignment="1">
      <alignment horizontal="center"/>
    </xf>
    <xf numFmtId="178" fontId="199" fillId="7" borderId="0" xfId="1" applyNumberFormat="1" applyFont="1" applyFill="1"/>
    <xf numFmtId="0" fontId="199" fillId="7" borderId="0" xfId="55" applyFont="1" applyFill="1" applyAlignment="1">
      <alignment horizontal="center"/>
    </xf>
    <xf numFmtId="164" fontId="197" fillId="7" borderId="0" xfId="55" applyNumberFormat="1" applyFont="1" applyFill="1" applyAlignment="1">
      <alignment horizontal="right"/>
    </xf>
    <xf numFmtId="164" fontId="225" fillId="7" borderId="0" xfId="1" applyNumberFormat="1" applyFont="1" applyFill="1"/>
    <xf numFmtId="10" fontId="197" fillId="7" borderId="0" xfId="55" applyNumberFormat="1" applyFont="1" applyFill="1"/>
    <xf numFmtId="1" fontId="197" fillId="7" borderId="0" xfId="55" applyNumberFormat="1" applyFont="1" applyFill="1"/>
    <xf numFmtId="2" fontId="34" fillId="5" borderId="0" xfId="53" applyNumberFormat="1" applyFont="1" applyFill="1" applyAlignment="1">
      <alignment horizontal="center"/>
    </xf>
    <xf numFmtId="1" fontId="239" fillId="5" borderId="0" xfId="53" applyNumberFormat="1" applyFont="1" applyFill="1" applyAlignment="1">
      <alignment horizontal="center"/>
    </xf>
    <xf numFmtId="2" fontId="34" fillId="5" borderId="0" xfId="53" quotePrefix="1" applyNumberFormat="1" applyFont="1" applyFill="1" applyAlignment="1">
      <alignment horizontal="center"/>
    </xf>
    <xf numFmtId="2" fontId="34" fillId="5" borderId="0" xfId="53" quotePrefix="1" applyNumberFormat="1" applyFont="1" applyFill="1" applyAlignment="1">
      <alignment horizontal="right"/>
    </xf>
    <xf numFmtId="3" fontId="239" fillId="5" borderId="0" xfId="53" applyNumberFormat="1" applyFont="1" applyFill="1" applyAlignment="1">
      <alignment horizontal="center"/>
    </xf>
    <xf numFmtId="3" fontId="239" fillId="5" borderId="0" xfId="53" applyNumberFormat="1" applyFont="1" applyFill="1"/>
    <xf numFmtId="3" fontId="239" fillId="5" borderId="0" xfId="53" applyNumberFormat="1" applyFont="1" applyFill="1" applyAlignment="1">
      <alignment horizontal="centerContinuous"/>
    </xf>
    <xf numFmtId="1" fontId="34" fillId="5" borderId="0" xfId="53" applyNumberFormat="1" applyFont="1" applyFill="1" applyAlignment="1">
      <alignment horizontal="right"/>
    </xf>
    <xf numFmtId="0" fontId="239" fillId="5" borderId="2" xfId="53" applyFont="1" applyFill="1" applyBorder="1" applyAlignment="1">
      <alignment horizontal="center"/>
    </xf>
    <xf numFmtId="1" fontId="239" fillId="5" borderId="2" xfId="53" applyNumberFormat="1" applyFont="1" applyFill="1" applyBorder="1" applyAlignment="1">
      <alignment horizontal="center"/>
    </xf>
    <xf numFmtId="1" fontId="34" fillId="5" borderId="0" xfId="53" applyNumberFormat="1" applyFont="1" applyFill="1" applyAlignment="1">
      <alignment horizontal="center"/>
    </xf>
    <xf numFmtId="0" fontId="239" fillId="5" borderId="0" xfId="53" applyNumberFormat="1" applyFont="1" applyFill="1" applyBorder="1"/>
    <xf numFmtId="0" fontId="239" fillId="5" borderId="0" xfId="53" applyFont="1" applyFill="1" applyBorder="1" applyAlignment="1">
      <alignment horizontal="center"/>
    </xf>
    <xf numFmtId="1" fontId="239" fillId="5" borderId="0" xfId="53" applyNumberFormat="1" applyFont="1" applyFill="1" applyBorder="1" applyAlignment="1">
      <alignment horizontal="center"/>
    </xf>
    <xf numFmtId="0" fontId="34" fillId="5" borderId="0" xfId="53" applyFont="1" applyFill="1" applyAlignment="1">
      <alignment horizontal="center"/>
    </xf>
    <xf numFmtId="0" fontId="34" fillId="5" borderId="0" xfId="53" applyNumberFormat="1" applyFont="1" applyFill="1"/>
    <xf numFmtId="176" fontId="34" fillId="5" borderId="0" xfId="53" applyNumberFormat="1" applyFont="1" applyFill="1" applyBorder="1"/>
    <xf numFmtId="0" fontId="34" fillId="5" borderId="0" xfId="53" applyNumberFormat="1" applyFont="1" applyFill="1" applyAlignment="1">
      <alignment horizontal="left" vertical="top" indent="1"/>
    </xf>
    <xf numFmtId="176" fontId="34" fillId="5" borderId="2" xfId="53" applyNumberFormat="1" applyFont="1" applyFill="1" applyBorder="1" applyAlignment="1">
      <alignment horizontal="right" vertical="top"/>
    </xf>
    <xf numFmtId="165" fontId="34" fillId="5" borderId="0" xfId="53" applyNumberFormat="1" applyFont="1" applyFill="1" applyAlignment="1">
      <alignment vertical="top"/>
    </xf>
    <xf numFmtId="164" fontId="34" fillId="5" borderId="0" xfId="2" applyNumberFormat="1" applyFont="1" applyFill="1" applyBorder="1"/>
    <xf numFmtId="164" fontId="34" fillId="5" borderId="3" xfId="2" applyNumberFormat="1" applyFont="1" applyFill="1" applyBorder="1"/>
    <xf numFmtId="164" fontId="34" fillId="5" borderId="0" xfId="2" applyNumberFormat="1" applyFont="1" applyFill="1"/>
    <xf numFmtId="164" fontId="34" fillId="5" borderId="2" xfId="2" applyNumberFormat="1" applyFont="1" applyFill="1" applyBorder="1"/>
    <xf numFmtId="0" fontId="239" fillId="5" borderId="0" xfId="53" applyNumberFormat="1" applyFont="1" applyFill="1" applyAlignment="1">
      <alignment horizontal="left"/>
    </xf>
    <xf numFmtId="164" fontId="239" fillId="5" borderId="0" xfId="2" applyNumberFormat="1" applyFont="1" applyFill="1"/>
    <xf numFmtId="0" fontId="239" fillId="5" borderId="0" xfId="53" applyNumberFormat="1" applyFont="1" applyFill="1" applyBorder="1" applyAlignment="1"/>
    <xf numFmtId="176" fontId="34" fillId="5" borderId="0" xfId="53" applyNumberFormat="1" applyFont="1" applyFill="1" applyAlignment="1"/>
    <xf numFmtId="176" fontId="34" fillId="5" borderId="0" xfId="53" applyNumberFormat="1" applyFont="1" applyFill="1" applyAlignment="1">
      <alignment horizontal="right" vertical="top"/>
    </xf>
    <xf numFmtId="165" fontId="34" fillId="5" borderId="2" xfId="53" applyNumberFormat="1" applyFont="1" applyFill="1" applyBorder="1" applyAlignment="1">
      <alignment vertical="top"/>
    </xf>
    <xf numFmtId="2" fontId="34" fillId="5" borderId="0" xfId="53" quotePrefix="1" applyNumberFormat="1" applyFont="1" applyFill="1" applyAlignment="1">
      <alignment horizontal="left"/>
    </xf>
    <xf numFmtId="0" fontId="24" fillId="7" borderId="0" xfId="53" applyFont="1" applyFill="1"/>
    <xf numFmtId="0" fontId="25" fillId="7" borderId="0" xfId="8" applyFont="1" applyFill="1"/>
    <xf numFmtId="0" fontId="18" fillId="7" borderId="0" xfId="8" applyFill="1"/>
    <xf numFmtId="0" fontId="197" fillId="7" borderId="0" xfId="60" applyFont="1" applyFill="1"/>
    <xf numFmtId="4" fontId="197" fillId="7" borderId="0" xfId="60" applyNumberFormat="1" applyFont="1" applyFill="1"/>
    <xf numFmtId="0" fontId="202" fillId="7" borderId="0" xfId="60" applyFont="1" applyFill="1" applyAlignment="1">
      <alignment horizontal="center"/>
    </xf>
    <xf numFmtId="1" fontId="201" fillId="7" borderId="0" xfId="51" applyNumberFormat="1" applyFont="1" applyFill="1"/>
    <xf numFmtId="0" fontId="202" fillId="7" borderId="0" xfId="51" applyFont="1" applyFill="1" applyAlignment="1">
      <alignment horizontal="center"/>
    </xf>
    <xf numFmtId="1" fontId="202" fillId="7" borderId="0" xfId="51" applyNumberFormat="1" applyFont="1" applyFill="1" applyBorder="1" applyAlignment="1">
      <alignment horizontal="center"/>
    </xf>
    <xf numFmtId="0" fontId="201" fillId="7" borderId="0" xfId="57" applyFont="1" applyFill="1"/>
    <xf numFmtId="167" fontId="201" fillId="7" borderId="0" xfId="51" applyNumberFormat="1" applyFont="1" applyFill="1"/>
    <xf numFmtId="0" fontId="202" fillId="7" borderId="0" xfId="51" applyFont="1" applyFill="1" applyBorder="1"/>
    <xf numFmtId="4" fontId="201" fillId="7" borderId="0" xfId="57" applyNumberFormat="1" applyFont="1" applyFill="1" applyBorder="1"/>
    <xf numFmtId="3" fontId="201" fillId="7" borderId="0" xfId="57" applyNumberFormat="1" applyFont="1" applyFill="1" applyBorder="1"/>
    <xf numFmtId="0" fontId="201" fillId="7" borderId="0" xfId="57" applyFont="1" applyFill="1" applyBorder="1"/>
    <xf numFmtId="170" fontId="201" fillId="7" borderId="0" xfId="57" applyNumberFormat="1" applyFont="1" applyFill="1" applyBorder="1"/>
    <xf numFmtId="0" fontId="201" fillId="7" borderId="0" xfId="60" applyFont="1" applyFill="1" applyBorder="1"/>
    <xf numFmtId="172" fontId="201" fillId="7" borderId="0" xfId="57" applyNumberFormat="1" applyFont="1" applyFill="1" applyBorder="1"/>
    <xf numFmtId="3" fontId="201" fillId="7" borderId="0" xfId="51" applyNumberFormat="1" applyFont="1" applyFill="1" applyBorder="1"/>
    <xf numFmtId="167" fontId="201" fillId="7" borderId="0" xfId="51" applyNumberFormat="1" applyFont="1" applyFill="1" applyBorder="1"/>
    <xf numFmtId="10" fontId="201" fillId="7" borderId="0" xfId="61" applyNumberFormat="1" applyFont="1" applyFill="1" applyBorder="1"/>
    <xf numFmtId="184" fontId="201" fillId="7" borderId="0" xfId="51" applyNumberFormat="1" applyFont="1" applyFill="1"/>
    <xf numFmtId="181" fontId="201" fillId="7" borderId="0" xfId="51" applyNumberFormat="1" applyFont="1" applyFill="1"/>
    <xf numFmtId="0" fontId="201" fillId="7" borderId="0" xfId="52" applyFont="1" applyFill="1"/>
    <xf numFmtId="0" fontId="218" fillId="7" borderId="0" xfId="52" applyFont="1" applyFill="1"/>
    <xf numFmtId="181" fontId="201" fillId="7" borderId="0" xfId="46" applyNumberFormat="1" applyFont="1" applyFill="1"/>
    <xf numFmtId="0" fontId="201" fillId="7" borderId="0" xfId="53" applyFont="1" applyFill="1"/>
    <xf numFmtId="171" fontId="202" fillId="7" borderId="0" xfId="46" applyFont="1" applyFill="1"/>
    <xf numFmtId="4" fontId="201" fillId="7" borderId="0" xfId="54" applyNumberFormat="1" applyFont="1" applyFill="1"/>
    <xf numFmtId="3" fontId="201" fillId="7" borderId="0" xfId="51" applyNumberFormat="1" applyFont="1" applyFill="1"/>
    <xf numFmtId="0" fontId="101" fillId="7" borderId="0" xfId="0" applyFont="1" applyFill="1" applyBorder="1"/>
    <xf numFmtId="0" fontId="0" fillId="7" borderId="0" xfId="0" applyFill="1" applyBorder="1"/>
    <xf numFmtId="188" fontId="0" fillId="7" borderId="0" xfId="0" applyNumberFormat="1" applyFill="1" applyBorder="1"/>
    <xf numFmtId="0" fontId="0" fillId="7" borderId="0" xfId="0" applyFill="1" applyBorder="1" applyAlignment="1">
      <alignment horizontal="center"/>
    </xf>
    <xf numFmtId="208" fontId="0" fillId="7" borderId="0" xfId="0" applyNumberFormat="1" applyFill="1" applyBorder="1"/>
    <xf numFmtId="0" fontId="101" fillId="7" borderId="0" xfId="0" applyFont="1" applyFill="1" applyBorder="1" applyAlignment="1">
      <alignment horizontal="center"/>
    </xf>
    <xf numFmtId="0" fontId="101" fillId="7" borderId="0" xfId="0" applyFont="1" applyFill="1" applyBorder="1" applyAlignment="1">
      <alignment horizontal="center" wrapText="1"/>
    </xf>
    <xf numFmtId="0" fontId="223" fillId="7" borderId="0" xfId="0" applyFont="1" applyFill="1" applyBorder="1"/>
    <xf numFmtId="0" fontId="223" fillId="7" borderId="0" xfId="0" applyFont="1" applyFill="1" applyBorder="1" applyAlignment="1">
      <alignment horizontal="center"/>
    </xf>
    <xf numFmtId="41" fontId="223" fillId="7" borderId="0" xfId="0" applyNumberFormat="1" applyFont="1" applyFill="1" applyBorder="1"/>
    <xf numFmtId="9" fontId="0" fillId="7" borderId="0" xfId="61" applyFont="1" applyFill="1" applyBorder="1" applyAlignment="1">
      <alignment horizontal="center"/>
    </xf>
    <xf numFmtId="164" fontId="0" fillId="7" borderId="0" xfId="1" applyNumberFormat="1" applyFont="1" applyFill="1" applyBorder="1"/>
    <xf numFmtId="43" fontId="0" fillId="7" borderId="0" xfId="1" applyFont="1" applyFill="1" applyBorder="1"/>
    <xf numFmtId="164" fontId="0" fillId="7" borderId="0" xfId="0" applyNumberFormat="1" applyFill="1" applyBorder="1"/>
    <xf numFmtId="0" fontId="32" fillId="7" borderId="0" xfId="0" applyFont="1" applyFill="1" applyBorder="1"/>
    <xf numFmtId="165" fontId="227" fillId="7" borderId="0" xfId="61" applyNumberFormat="1" applyFont="1" applyFill="1" applyBorder="1"/>
    <xf numFmtId="3" fontId="227" fillId="7" borderId="0" xfId="0" applyNumberFormat="1" applyFont="1" applyFill="1" applyBorder="1" applyAlignment="1">
      <alignment horizontal="center"/>
    </xf>
    <xf numFmtId="0" fontId="228" fillId="7" borderId="0" xfId="0" applyFont="1" applyFill="1" applyBorder="1"/>
    <xf numFmtId="37" fontId="32" fillId="7" borderId="0" xfId="1" applyNumberFormat="1" applyFont="1" applyFill="1" applyBorder="1"/>
    <xf numFmtId="164" fontId="230" fillId="7" borderId="0" xfId="1" applyNumberFormat="1" applyFont="1" applyFill="1" applyBorder="1"/>
    <xf numFmtId="164" fontId="32" fillId="7" borderId="0" xfId="1" applyNumberFormat="1" applyFont="1" applyFill="1" applyBorder="1"/>
    <xf numFmtId="0" fontId="231" fillId="7" borderId="0" xfId="0" quotePrefix="1" applyFont="1" applyFill="1" applyBorder="1"/>
    <xf numFmtId="41" fontId="32" fillId="7" borderId="0" xfId="0" applyNumberFormat="1" applyFont="1" applyFill="1" applyBorder="1"/>
    <xf numFmtId="0" fontId="231" fillId="7" borderId="0" xfId="0" applyFont="1" applyFill="1" applyBorder="1"/>
    <xf numFmtId="164" fontId="231" fillId="7" borderId="0" xfId="0" applyNumberFormat="1" applyFont="1" applyFill="1" applyBorder="1"/>
    <xf numFmtId="0" fontId="33" fillId="7" borderId="0" xfId="0" applyFont="1" applyFill="1" applyBorder="1"/>
    <xf numFmtId="175" fontId="32" fillId="7" borderId="0" xfId="0" applyNumberFormat="1" applyFont="1" applyFill="1" applyBorder="1"/>
    <xf numFmtId="4" fontId="32" fillId="7" borderId="0" xfId="0" applyNumberFormat="1" applyFont="1" applyFill="1" applyBorder="1" applyAlignment="1">
      <alignment horizontal="center"/>
    </xf>
    <xf numFmtId="173" fontId="32" fillId="7" borderId="0" xfId="0" quotePrefix="1" applyNumberFormat="1" applyFont="1" applyFill="1" applyBorder="1" applyAlignment="1">
      <alignment horizontal="center"/>
    </xf>
    <xf numFmtId="164" fontId="32" fillId="7" borderId="0" xfId="0" applyNumberFormat="1" applyFont="1" applyFill="1" applyBorder="1"/>
    <xf numFmtId="2" fontId="32" fillId="7" borderId="0" xfId="0" applyNumberFormat="1" applyFont="1" applyFill="1" applyAlignment="1">
      <alignment horizontal="center"/>
    </xf>
    <xf numFmtId="0" fontId="227" fillId="7" borderId="0" xfId="0" applyFont="1" applyFill="1"/>
    <xf numFmtId="164" fontId="227" fillId="7" borderId="0" xfId="1" applyNumberFormat="1" applyFont="1" applyFill="1" applyBorder="1"/>
    <xf numFmtId="164" fontId="227" fillId="7" borderId="0" xfId="0" applyNumberFormat="1" applyFont="1" applyFill="1" applyBorder="1"/>
    <xf numFmtId="41" fontId="227" fillId="7" borderId="0" xfId="0" applyNumberFormat="1" applyFont="1" applyFill="1" applyBorder="1"/>
    <xf numFmtId="164" fontId="32" fillId="7" borderId="0" xfId="0" applyNumberFormat="1" applyFont="1" applyFill="1"/>
    <xf numFmtId="2" fontId="32" fillId="7" borderId="0" xfId="0" applyNumberFormat="1" applyFont="1" applyFill="1"/>
    <xf numFmtId="2" fontId="227" fillId="7" borderId="0" xfId="0" applyNumberFormat="1" applyFont="1" applyFill="1"/>
    <xf numFmtId="1" fontId="240" fillId="3" borderId="0" xfId="55" applyNumberFormat="1" applyFont="1" applyFill="1"/>
    <xf numFmtId="164" fontId="32" fillId="5" borderId="0" xfId="57" applyNumberFormat="1" applyFont="1" applyFill="1" applyBorder="1"/>
    <xf numFmtId="0" fontId="32" fillId="4" borderId="0" xfId="55" quotePrefix="1" applyNumberFormat="1" applyFont="1" applyFill="1" applyAlignment="1">
      <alignment horizontal="center"/>
    </xf>
    <xf numFmtId="2" fontId="32" fillId="4" borderId="0" xfId="47" applyNumberFormat="1" applyFont="1" applyFill="1" applyAlignment="1">
      <alignment horizontal="center"/>
    </xf>
    <xf numFmtId="0" fontId="32" fillId="7" borderId="0" xfId="55" quotePrefix="1" applyNumberFormat="1" applyFont="1" applyFill="1" applyAlignment="1">
      <alignment horizontal="center"/>
    </xf>
    <xf numFmtId="2" fontId="32" fillId="7" borderId="0" xfId="47" applyNumberFormat="1" applyFont="1" applyFill="1" applyAlignment="1">
      <alignment horizontal="center"/>
    </xf>
    <xf numFmtId="2" fontId="32" fillId="3" borderId="0" xfId="47" applyNumberFormat="1" applyFont="1" applyFill="1" applyAlignment="1">
      <alignment horizontal="center"/>
    </xf>
    <xf numFmtId="1" fontId="227" fillId="0" borderId="0" xfId="51" applyNumberFormat="1" applyFont="1" applyFill="1" applyAlignment="1">
      <alignment horizontal="left"/>
    </xf>
    <xf numFmtId="171" fontId="201" fillId="3" borderId="0" xfId="47" applyFont="1" applyFill="1" applyAlignment="1">
      <alignment vertical="center"/>
    </xf>
    <xf numFmtId="1" fontId="201" fillId="3" borderId="0" xfId="47" applyNumberFormat="1" applyFont="1" applyFill="1" applyAlignment="1">
      <alignment vertical="center"/>
    </xf>
    <xf numFmtId="179" fontId="201" fillId="3" borderId="0" xfId="1" applyNumberFormat="1" applyFont="1" applyFill="1" applyAlignment="1">
      <alignment vertical="center"/>
    </xf>
    <xf numFmtId="166" fontId="201" fillId="3" borderId="0" xfId="47" applyNumberFormat="1" applyFont="1" applyFill="1" applyAlignment="1">
      <alignment vertical="center"/>
    </xf>
    <xf numFmtId="171" fontId="242" fillId="3" borderId="0" xfId="47" applyFont="1" applyFill="1" applyAlignment="1">
      <alignment vertical="center"/>
    </xf>
    <xf numFmtId="0" fontId="227" fillId="5" borderId="0" xfId="55" applyNumberFormat="1" applyFont="1" applyFill="1" applyBorder="1" applyAlignment="1">
      <alignment horizontal="left"/>
    </xf>
    <xf numFmtId="43" fontId="32" fillId="5" borderId="0" xfId="51" applyNumberFormat="1" applyFont="1" applyFill="1" applyBorder="1"/>
    <xf numFmtId="0" fontId="227" fillId="5" borderId="25" xfId="0" applyFont="1" applyFill="1" applyBorder="1"/>
    <xf numFmtId="41" fontId="32" fillId="5" borderId="24" xfId="0" applyNumberFormat="1" applyFont="1" applyFill="1" applyBorder="1"/>
    <xf numFmtId="0" fontId="32" fillId="5" borderId="24" xfId="0" applyFont="1" applyFill="1" applyBorder="1"/>
    <xf numFmtId="10" fontId="32" fillId="5" borderId="24" xfId="62" applyNumberFormat="1" applyFont="1" applyFill="1" applyBorder="1"/>
    <xf numFmtId="10" fontId="32" fillId="5" borderId="26" xfId="62" applyNumberFormat="1" applyFont="1" applyFill="1" applyBorder="1"/>
    <xf numFmtId="0" fontId="32" fillId="5" borderId="27" xfId="0" applyFont="1" applyFill="1" applyBorder="1"/>
    <xf numFmtId="3" fontId="32" fillId="5" borderId="0" xfId="0" applyNumberFormat="1" applyFont="1" applyFill="1" applyBorder="1"/>
    <xf numFmtId="3" fontId="32" fillId="5" borderId="28" xfId="0" applyNumberFormat="1" applyFont="1" applyFill="1" applyBorder="1"/>
    <xf numFmtId="164" fontId="32" fillId="5" borderId="28" xfId="1" applyNumberFormat="1" applyFont="1" applyFill="1" applyBorder="1"/>
    <xf numFmtId="0" fontId="32" fillId="5" borderId="28" xfId="0" applyFont="1" applyFill="1" applyBorder="1"/>
    <xf numFmtId="0" fontId="32" fillId="5" borderId="29" xfId="0" applyFont="1" applyFill="1" applyBorder="1"/>
    <xf numFmtId="3" fontId="32" fillId="5" borderId="1" xfId="0" applyNumberFormat="1" applyFont="1" applyFill="1" applyBorder="1"/>
    <xf numFmtId="41" fontId="32" fillId="5" borderId="1" xfId="0" applyNumberFormat="1" applyFont="1" applyFill="1" applyBorder="1"/>
    <xf numFmtId="41" fontId="227" fillId="5" borderId="1" xfId="0" applyNumberFormat="1" applyFont="1" applyFill="1" applyBorder="1" applyAlignment="1">
      <alignment horizontal="center"/>
    </xf>
    <xf numFmtId="41" fontId="32" fillId="5" borderId="30" xfId="0" applyNumberFormat="1" applyFont="1" applyFill="1" applyBorder="1"/>
    <xf numFmtId="1" fontId="240" fillId="0" borderId="0" xfId="55" applyNumberFormat="1" applyFont="1" applyFill="1"/>
    <xf numFmtId="0" fontId="197" fillId="0" borderId="0" xfId="0" applyFont="1" applyFill="1"/>
    <xf numFmtId="0" fontId="198" fillId="0" borderId="0" xfId="0" applyFont="1" applyFill="1"/>
    <xf numFmtId="0" fontId="208" fillId="0" borderId="0" xfId="0" applyFont="1" applyFill="1"/>
    <xf numFmtId="2" fontId="237" fillId="4" borderId="0" xfId="52" applyNumberFormat="1" applyFont="1" applyFill="1" applyAlignment="1">
      <alignment horizontal="center" vertical="center"/>
    </xf>
    <xf numFmtId="171" fontId="243" fillId="5" borderId="0" xfId="4596" applyFont="1" applyFill="1" applyAlignment="1">
      <alignment horizontal="center"/>
    </xf>
    <xf numFmtId="10" fontId="201" fillId="7" borderId="0" xfId="0" applyNumberFormat="1" applyFont="1" applyFill="1"/>
    <xf numFmtId="165" fontId="244" fillId="7" borderId="0" xfId="4598" applyNumberFormat="1" applyFont="1" applyFill="1" applyBorder="1" applyAlignment="1" applyProtection="1">
      <alignment horizontal="center"/>
    </xf>
    <xf numFmtId="4" fontId="246" fillId="5" borderId="0" xfId="4598" applyNumberFormat="1" applyFont="1" applyFill="1" applyBorder="1" applyAlignment="1">
      <alignment horizontal="center"/>
    </xf>
    <xf numFmtId="165" fontId="246" fillId="0" borderId="0" xfId="61" applyNumberFormat="1" applyFont="1" applyAlignment="1">
      <alignment horizontal="center"/>
    </xf>
    <xf numFmtId="166" fontId="246" fillId="5" borderId="0" xfId="0" applyNumberFormat="1" applyFont="1" applyFill="1" applyAlignment="1">
      <alignment horizontal="center"/>
    </xf>
    <xf numFmtId="9" fontId="246" fillId="0" borderId="0" xfId="61" applyFont="1" applyAlignment="1">
      <alignment horizontal="center"/>
    </xf>
    <xf numFmtId="166" fontId="246" fillId="0" borderId="0" xfId="0" applyNumberFormat="1" applyFont="1" applyAlignment="1">
      <alignment horizontal="center"/>
    </xf>
    <xf numFmtId="1" fontId="246" fillId="5" borderId="0" xfId="0" applyNumberFormat="1" applyFont="1" applyFill="1" applyBorder="1" applyAlignment="1">
      <alignment horizontal="right"/>
    </xf>
    <xf numFmtId="208" fontId="246" fillId="5" borderId="0" xfId="0" applyNumberFormat="1" applyFont="1" applyFill="1" applyBorder="1" applyAlignment="1">
      <alignment horizontal="center"/>
    </xf>
    <xf numFmtId="210" fontId="246" fillId="5" borderId="0" xfId="0" applyNumberFormat="1" applyFont="1" applyFill="1" applyBorder="1" applyAlignment="1">
      <alignment horizontal="center"/>
    </xf>
    <xf numFmtId="2" fontId="245" fillId="4" borderId="0" xfId="52" applyNumberFormat="1" applyFont="1" applyFill="1" applyAlignment="1">
      <alignment horizontal="center" vertical="center"/>
    </xf>
    <xf numFmtId="41" fontId="246" fillId="5" borderId="0" xfId="0" applyNumberFormat="1" applyFont="1" applyFill="1" applyBorder="1"/>
    <xf numFmtId="165" fontId="246" fillId="5" borderId="0" xfId="0" applyNumberFormat="1" applyFont="1" applyFill="1" applyAlignment="1">
      <alignment horizontal="right" indent="1"/>
    </xf>
    <xf numFmtId="41" fontId="246" fillId="5" borderId="0" xfId="0" applyNumberFormat="1" applyFont="1" applyFill="1"/>
    <xf numFmtId="10" fontId="246" fillId="5" borderId="0" xfId="0" applyNumberFormat="1" applyFont="1" applyFill="1" applyAlignment="1">
      <alignment horizontal="right" indent="1"/>
    </xf>
    <xf numFmtId="41" fontId="246" fillId="5" borderId="2" xfId="0" applyNumberFormat="1" applyFont="1" applyFill="1" applyBorder="1"/>
    <xf numFmtId="165" fontId="246" fillId="5" borderId="2" xfId="0" applyNumberFormat="1" applyFont="1" applyFill="1" applyBorder="1" applyAlignment="1">
      <alignment horizontal="right" indent="1"/>
    </xf>
    <xf numFmtId="165" fontId="246" fillId="5" borderId="0" xfId="0" applyNumberFormat="1" applyFont="1" applyFill="1" applyBorder="1" applyAlignment="1">
      <alignment horizontal="right" indent="1"/>
    </xf>
    <xf numFmtId="10" fontId="246" fillId="5" borderId="0" xfId="0" applyNumberFormat="1" applyFont="1" applyFill="1" applyBorder="1"/>
    <xf numFmtId="0" fontId="32" fillId="5" borderId="0" xfId="0" applyFont="1" applyFill="1" applyBorder="1" applyAlignment="1">
      <alignment horizontal="center" vertical="center"/>
    </xf>
    <xf numFmtId="2" fontId="237" fillId="5" borderId="0" xfId="53" applyNumberFormat="1" applyFont="1" applyFill="1" applyAlignment="1">
      <alignment horizontal="center" vertical="center"/>
    </xf>
    <xf numFmtId="2" fontId="32" fillId="5" borderId="0" xfId="53" quotePrefix="1" applyNumberFormat="1" applyFont="1" applyFill="1" applyAlignment="1">
      <alignment horizontal="center" vertical="top"/>
    </xf>
    <xf numFmtId="2" fontId="32" fillId="5" borderId="0" xfId="53" applyNumberFormat="1" applyFont="1" applyFill="1" applyAlignment="1">
      <alignment horizontal="center" vertical="top"/>
    </xf>
    <xf numFmtId="3" fontId="239" fillId="5" borderId="0" xfId="53" applyNumberFormat="1" applyFont="1" applyFill="1" applyBorder="1" applyAlignment="1">
      <alignment horizontal="center"/>
    </xf>
    <xf numFmtId="0" fontId="199" fillId="3" borderId="0" xfId="55" applyFont="1" applyFill="1" applyAlignment="1">
      <alignment wrapText="1"/>
    </xf>
    <xf numFmtId="0" fontId="197" fillId="0" borderId="0" xfId="0" applyFont="1" applyAlignment="1">
      <alignment wrapText="1"/>
    </xf>
    <xf numFmtId="3" fontId="238" fillId="5" borderId="0" xfId="50" applyNumberFormat="1" applyFont="1" applyFill="1" applyBorder="1" applyAlignment="1">
      <alignment horizontal="center"/>
    </xf>
    <xf numFmtId="3" fontId="39" fillId="5" borderId="0" xfId="0" applyNumberFormat="1" applyFont="1" applyFill="1" applyAlignment="1">
      <alignment horizontal="center"/>
    </xf>
    <xf numFmtId="2" fontId="237" fillId="5" borderId="0" xfId="52" applyNumberFormat="1" applyFont="1" applyFill="1" applyAlignment="1">
      <alignment horizontal="center" vertical="center"/>
    </xf>
    <xf numFmtId="172" fontId="238" fillId="5" borderId="0" xfId="50" applyNumberFormat="1" applyFont="1" applyFill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39" fillId="5" borderId="0" xfId="51" applyNumberFormat="1" applyFont="1" applyFill="1" applyAlignment="1">
      <alignment wrapText="1"/>
    </xf>
    <xf numFmtId="0" fontId="39" fillId="5" borderId="0" xfId="0" applyFont="1" applyFill="1" applyAlignment="1">
      <alignment wrapText="1"/>
    </xf>
    <xf numFmtId="2" fontId="32" fillId="5" borderId="0" xfId="52" quotePrefix="1" applyNumberFormat="1" applyFont="1" applyFill="1" applyAlignment="1">
      <alignment horizontal="center" vertical="top"/>
    </xf>
    <xf numFmtId="1" fontId="238" fillId="5" borderId="0" xfId="51" applyNumberFormat="1" applyFont="1" applyFill="1" applyBorder="1" applyAlignment="1">
      <alignment horizontal="center"/>
    </xf>
    <xf numFmtId="0" fontId="39" fillId="5" borderId="0" xfId="60" applyNumberFormat="1" applyFont="1" applyFill="1" applyAlignment="1">
      <alignment wrapText="1"/>
    </xf>
    <xf numFmtId="0" fontId="56" fillId="7" borderId="0" xfId="0" applyFont="1" applyFill="1" applyAlignment="1">
      <alignment horizontal="center"/>
    </xf>
    <xf numFmtId="2" fontId="237" fillId="4" borderId="0" xfId="54" applyNumberFormat="1" applyFont="1" applyFill="1" applyAlignment="1">
      <alignment horizontal="center" vertical="center"/>
    </xf>
    <xf numFmtId="2" fontId="237" fillId="5" borderId="0" xfId="4596" applyNumberFormat="1" applyFont="1" applyFill="1" applyAlignment="1">
      <alignment horizontal="center" vertical="center" wrapText="1"/>
    </xf>
    <xf numFmtId="2" fontId="237" fillId="5" borderId="0" xfId="4596" applyNumberFormat="1" applyFont="1" applyFill="1" applyAlignment="1">
      <alignment horizontal="center" vertical="center"/>
    </xf>
    <xf numFmtId="0" fontId="32" fillId="0" borderId="0" xfId="0" applyFont="1" applyAlignment="1">
      <alignment wrapText="1"/>
    </xf>
    <xf numFmtId="0" fontId="39" fillId="0" borderId="0" xfId="0" applyFont="1" applyAlignment="1"/>
    <xf numFmtId="0" fontId="39" fillId="0" borderId="0" xfId="0" applyFont="1" applyAlignment="1">
      <alignment wrapText="1"/>
    </xf>
    <xf numFmtId="0" fontId="32" fillId="5" borderId="0" xfId="0" applyFont="1" applyFill="1" applyBorder="1" applyAlignment="1">
      <alignment wrapText="1"/>
    </xf>
    <xf numFmtId="0" fontId="39" fillId="5" borderId="0" xfId="0" applyFont="1" applyFill="1" applyAlignment="1"/>
    <xf numFmtId="0" fontId="219" fillId="7" borderId="0" xfId="0" applyFont="1" applyFill="1" applyBorder="1" applyAlignment="1">
      <alignment horizontal="center"/>
    </xf>
    <xf numFmtId="0" fontId="237" fillId="5" borderId="0" xfId="0" applyFont="1" applyFill="1" applyBorder="1" applyAlignment="1">
      <alignment horizontal="center" wrapText="1"/>
    </xf>
    <xf numFmtId="0" fontId="241" fillId="5" borderId="0" xfId="0" applyFont="1" applyFill="1" applyAlignment="1">
      <alignment horizontal="center"/>
    </xf>
    <xf numFmtId="0" fontId="227" fillId="5" borderId="0" xfId="0" applyFont="1" applyFill="1" applyBorder="1" applyAlignment="1">
      <alignment horizontal="center"/>
    </xf>
    <xf numFmtId="0" fontId="101" fillId="7" borderId="0" xfId="0" applyFont="1" applyFill="1" applyBorder="1" applyAlignment="1">
      <alignment horizontal="center"/>
    </xf>
    <xf numFmtId="0" fontId="0" fillId="7" borderId="0" xfId="0" applyFill="1" applyBorder="1" applyAlignment="1"/>
    <xf numFmtId="9" fontId="0" fillId="7" borderId="0" xfId="61" applyFont="1" applyFill="1" applyBorder="1" applyAlignment="1">
      <alignment horizontal="center"/>
    </xf>
    <xf numFmtId="2" fontId="227" fillId="4" borderId="0" xfId="52" applyNumberFormat="1" applyFont="1" applyFill="1" applyAlignment="1">
      <alignment horizontal="center" vertical="center"/>
    </xf>
    <xf numFmtId="3" fontId="227" fillId="3" borderId="0" xfId="0" applyNumberFormat="1" applyFont="1" applyFill="1" applyBorder="1" applyAlignment="1">
      <alignment horizontal="center"/>
    </xf>
    <xf numFmtId="2" fontId="237" fillId="4" borderId="0" xfId="52" applyNumberFormat="1" applyFont="1" applyFill="1" applyAlignment="1">
      <alignment horizontal="center" vertical="center"/>
    </xf>
    <xf numFmtId="0" fontId="227" fillId="5" borderId="2" xfId="0" applyFont="1" applyFill="1" applyBorder="1" applyAlignment="1">
      <alignment horizontal="center"/>
    </xf>
    <xf numFmtId="0" fontId="227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</cellXfs>
  <cellStyles count="5556">
    <cellStyle name="_%(SignOnly)" xfId="867"/>
    <cellStyle name="_%(SignOnly) 2" xfId="868"/>
    <cellStyle name="_%(SignOnly) 2 2" xfId="869"/>
    <cellStyle name="_%(SignOnly) 3" xfId="870"/>
    <cellStyle name="_%(SignSpaceOnly)" xfId="871"/>
    <cellStyle name="_%(SignSpaceOnly) 2" xfId="872"/>
    <cellStyle name="_%(SignSpaceOnly) 2 2" xfId="873"/>
    <cellStyle name="_%(SignSpaceOnly) 3" xfId="874"/>
    <cellStyle name="_Chelan Debt Forecast 12.19.05" xfId="875"/>
    <cellStyle name="_Chelan Debt Forecast 12.19.05 2" xfId="3891"/>
    <cellStyle name="_Comma" xfId="876"/>
    <cellStyle name="_Comma 2" xfId="877"/>
    <cellStyle name="_Comma 2 2" xfId="878"/>
    <cellStyle name="_Comma 3" xfId="879"/>
    <cellStyle name="_Costs not in AURORA 06GRC" xfId="880"/>
    <cellStyle name="_Costs not in AURORA 06GRC 2" xfId="3892"/>
    <cellStyle name="_Costs not in KWI3000 '06Budget" xfId="881"/>
    <cellStyle name="_Costs not in KWI3000 '06Budget 2" xfId="3893"/>
    <cellStyle name="_Currency" xfId="882"/>
    <cellStyle name="_Currency 2" xfId="883"/>
    <cellStyle name="_Currency 2 2" xfId="884"/>
    <cellStyle name="_Currency 3" xfId="885"/>
    <cellStyle name="_CurrencySpace" xfId="886"/>
    <cellStyle name="_CurrencySpace 2" xfId="887"/>
    <cellStyle name="_CurrencySpace 2 2" xfId="888"/>
    <cellStyle name="_CurrencySpace 3" xfId="889"/>
    <cellStyle name="_Euro" xfId="890"/>
    <cellStyle name="_Euro 2" xfId="891"/>
    <cellStyle name="_Euro 2 2" xfId="892"/>
    <cellStyle name="_Euro 3" xfId="893"/>
    <cellStyle name="_Fuel Prices 4-14" xfId="894"/>
    <cellStyle name="_Fuel Prices 4-14 2" xfId="3894"/>
    <cellStyle name="_Heading" xfId="895"/>
    <cellStyle name="_Highlight" xfId="896"/>
    <cellStyle name="_Highlight 2" xfId="897"/>
    <cellStyle name="_Highlight 2 2" xfId="898"/>
    <cellStyle name="_Highlight 3" xfId="899"/>
    <cellStyle name="_Multiple" xfId="900"/>
    <cellStyle name="_Multiple 2" xfId="901"/>
    <cellStyle name="_Multiple 2 2" xfId="902"/>
    <cellStyle name="_Multiple 3" xfId="903"/>
    <cellStyle name="_MultipleSpace" xfId="904"/>
    <cellStyle name="_MultipleSpace 2" xfId="905"/>
    <cellStyle name="_MultipleSpace 2 2" xfId="906"/>
    <cellStyle name="_MultipleSpace 3" xfId="907"/>
    <cellStyle name="_Power Cost Value Copy 11.30.05 gas 1.09.06 AURORA at 1.10.06" xfId="908"/>
    <cellStyle name="_Power Cost Value Copy 11.30.05 gas 1.09.06 AURORA at 1.10.06 2" xfId="3895"/>
    <cellStyle name="_Recon to Darrin's 5.11.05 proforma" xfId="909"/>
    <cellStyle name="_Recon to Darrin's 5.11.05 proforma 2" xfId="3896"/>
    <cellStyle name="_SubHeading" xfId="910"/>
    <cellStyle name="_Table" xfId="911"/>
    <cellStyle name="_Table_QC" xfId="912"/>
    <cellStyle name="_TableHead" xfId="913"/>
    <cellStyle name="_TableHead_QC" xfId="914"/>
    <cellStyle name="_TableRowHead" xfId="915"/>
    <cellStyle name="_TableSuperHead" xfId="916"/>
    <cellStyle name="_Value Copy 11 30 05 gas 12 09 05 AURORA at 12 14 05" xfId="917"/>
    <cellStyle name="_Value Copy 11 30 05 gas 12 09 05 AURORA at 12 14 05 2" xfId="3897"/>
    <cellStyle name="20% - Accent1" xfId="4616" builtinId="30" customBuiltin="1"/>
    <cellStyle name="20% - Accent1 2" xfId="74"/>
    <cellStyle name="20% - Accent1 2 2" xfId="75"/>
    <cellStyle name="20% - Accent1 2 2 2" xfId="918"/>
    <cellStyle name="20% - Accent1 2 2 2 2" xfId="919"/>
    <cellStyle name="20% - Accent1 2 2 3" xfId="920"/>
    <cellStyle name="20% - Accent1 2 2 3 2" xfId="921"/>
    <cellStyle name="20% - Accent1 2 2 4" xfId="922"/>
    <cellStyle name="20% - Accent1 2 2 5" xfId="923"/>
    <cellStyle name="20% - Accent1 2 3" xfId="76"/>
    <cellStyle name="20% - Accent1 2 3 2" xfId="3572"/>
    <cellStyle name="20% - Accent1 2 4" xfId="924"/>
    <cellStyle name="20% - Accent1 2 5" xfId="925"/>
    <cellStyle name="20% - Accent1 2 6" xfId="926"/>
    <cellStyle name="20% - Accent1 2 6 2" xfId="3573"/>
    <cellStyle name="20% - Accent1 2 7" xfId="927"/>
    <cellStyle name="20% - Accent1 2_QC Sheet" xfId="928"/>
    <cellStyle name="20% - Accent1 3" xfId="77"/>
    <cellStyle name="20% - Accent1 3 2" xfId="929"/>
    <cellStyle name="20% - Accent1 4" xfId="78"/>
    <cellStyle name="20% - Accent1 4 2" xfId="930"/>
    <cellStyle name="20% - Accent1 4 2 2" xfId="5102"/>
    <cellStyle name="20% - Accent1 4 3" xfId="3774"/>
    <cellStyle name="20% - Accent1 4 4" xfId="4640"/>
    <cellStyle name="20% - Accent1 5" xfId="931"/>
    <cellStyle name="20% - Accent1 6" xfId="932"/>
    <cellStyle name="20% - Accent1 7" xfId="933"/>
    <cellStyle name="20% - Accent1 7 2" xfId="934"/>
    <cellStyle name="20% - Accent1 7 2 2" xfId="5495"/>
    <cellStyle name="20% - Accent2" xfId="4619" builtinId="34" customBuiltin="1"/>
    <cellStyle name="20% - Accent2 2" xfId="79"/>
    <cellStyle name="20% - Accent2 2 2" xfId="80"/>
    <cellStyle name="20% - Accent2 2 2 2" xfId="935"/>
    <cellStyle name="20% - Accent2 2 2 2 2" xfId="936"/>
    <cellStyle name="20% - Accent2 2 2 3" xfId="937"/>
    <cellStyle name="20% - Accent2 2 2 3 2" xfId="938"/>
    <cellStyle name="20% - Accent2 2 2 4" xfId="939"/>
    <cellStyle name="20% - Accent2 2 2 5" xfId="940"/>
    <cellStyle name="20% - Accent2 2 3" xfId="81"/>
    <cellStyle name="20% - Accent2 2 3 2" xfId="3574"/>
    <cellStyle name="20% - Accent2 2 4" xfId="941"/>
    <cellStyle name="20% - Accent2 2 5" xfId="942"/>
    <cellStyle name="20% - Accent2 2 6" xfId="943"/>
    <cellStyle name="20% - Accent2 2 6 2" xfId="3575"/>
    <cellStyle name="20% - Accent2 2 7" xfId="944"/>
    <cellStyle name="20% - Accent2 2_QC Sheet" xfId="945"/>
    <cellStyle name="20% - Accent2 3" xfId="82"/>
    <cellStyle name="20% - Accent2 3 2" xfId="946"/>
    <cellStyle name="20% - Accent2 4" xfId="83"/>
    <cellStyle name="20% - Accent2 4 2" xfId="947"/>
    <cellStyle name="20% - Accent2 4 2 2" xfId="5066"/>
    <cellStyle name="20% - Accent2 4 3" xfId="3775"/>
    <cellStyle name="20% - Accent2 4 4" xfId="4641"/>
    <cellStyle name="20% - Accent2 5" xfId="948"/>
    <cellStyle name="20% - Accent2 6" xfId="949"/>
    <cellStyle name="20% - Accent2 7" xfId="950"/>
    <cellStyle name="20% - Accent2 7 2" xfId="951"/>
    <cellStyle name="20% - Accent2 7 2 2" xfId="5497"/>
    <cellStyle name="20% - Accent3" xfId="4623" builtinId="38" customBuiltin="1"/>
    <cellStyle name="20% - Accent3 2" xfId="84"/>
    <cellStyle name="20% - Accent3 2 2" xfId="85"/>
    <cellStyle name="20% - Accent3 2 2 2" xfId="952"/>
    <cellStyle name="20% - Accent3 2 2 2 2" xfId="953"/>
    <cellStyle name="20% - Accent3 2 2 3" xfId="954"/>
    <cellStyle name="20% - Accent3 2 2 3 2" xfId="955"/>
    <cellStyle name="20% - Accent3 2 2 4" xfId="956"/>
    <cellStyle name="20% - Accent3 2 2 5" xfId="957"/>
    <cellStyle name="20% - Accent3 2 3" xfId="86"/>
    <cellStyle name="20% - Accent3 2 3 2" xfId="3576"/>
    <cellStyle name="20% - Accent3 2 4" xfId="958"/>
    <cellStyle name="20% - Accent3 2 5" xfId="959"/>
    <cellStyle name="20% - Accent3 2 6" xfId="960"/>
    <cellStyle name="20% - Accent3 2 6 2" xfId="3577"/>
    <cellStyle name="20% - Accent3 2 7" xfId="961"/>
    <cellStyle name="20% - Accent3 2_QC Sheet" xfId="962"/>
    <cellStyle name="20% - Accent3 3" xfId="87"/>
    <cellStyle name="20% - Accent3 3 2" xfId="963"/>
    <cellStyle name="20% - Accent3 4" xfId="88"/>
    <cellStyle name="20% - Accent3 4 2" xfId="964"/>
    <cellStyle name="20% - Accent3 4 2 2" xfId="5115"/>
    <cellStyle name="20% - Accent3 4 3" xfId="3776"/>
    <cellStyle name="20% - Accent3 4 4" xfId="4642"/>
    <cellStyle name="20% - Accent3 5" xfId="965"/>
    <cellStyle name="20% - Accent3 6" xfId="966"/>
    <cellStyle name="20% - Accent3 7" xfId="967"/>
    <cellStyle name="20% - Accent3 7 2" xfId="968"/>
    <cellStyle name="20% - Accent3 7 2 2" xfId="5499"/>
    <cellStyle name="20% - Accent4" xfId="4627" builtinId="42" customBuiltin="1"/>
    <cellStyle name="20% - Accent4 2" xfId="89"/>
    <cellStyle name="20% - Accent4 2 2" xfId="90"/>
    <cellStyle name="20% - Accent4 2 2 2" xfId="969"/>
    <cellStyle name="20% - Accent4 2 2 2 2" xfId="970"/>
    <cellStyle name="20% - Accent4 2 2 3" xfId="971"/>
    <cellStyle name="20% - Accent4 2 2 3 2" xfId="972"/>
    <cellStyle name="20% - Accent4 2 2 4" xfId="973"/>
    <cellStyle name="20% - Accent4 2 2 5" xfId="974"/>
    <cellStyle name="20% - Accent4 2 3" xfId="91"/>
    <cellStyle name="20% - Accent4 2 3 2" xfId="3578"/>
    <cellStyle name="20% - Accent4 2 4" xfId="975"/>
    <cellStyle name="20% - Accent4 2 5" xfId="976"/>
    <cellStyle name="20% - Accent4 2 6" xfId="977"/>
    <cellStyle name="20% - Accent4 2 6 2" xfId="3579"/>
    <cellStyle name="20% - Accent4 2 7" xfId="978"/>
    <cellStyle name="20% - Accent4 2_QC Sheet" xfId="979"/>
    <cellStyle name="20% - Accent4 3" xfId="92"/>
    <cellStyle name="20% - Accent4 3 2" xfId="980"/>
    <cellStyle name="20% - Accent4 4" xfId="93"/>
    <cellStyle name="20% - Accent4 4 2" xfId="981"/>
    <cellStyle name="20% - Accent4 4 2 2" xfId="5110"/>
    <cellStyle name="20% - Accent4 4 3" xfId="3777"/>
    <cellStyle name="20% - Accent4 4 4" xfId="4643"/>
    <cellStyle name="20% - Accent4 5" xfId="982"/>
    <cellStyle name="20% - Accent4 6" xfId="983"/>
    <cellStyle name="20% - Accent4 7" xfId="984"/>
    <cellStyle name="20% - Accent4 7 2" xfId="985"/>
    <cellStyle name="20% - Accent4 7 2 2" xfId="5501"/>
    <cellStyle name="20% - Accent5" xfId="4631" builtinId="46" customBuiltin="1"/>
    <cellStyle name="20% - Accent5 2" xfId="94"/>
    <cellStyle name="20% - Accent5 2 2" xfId="95"/>
    <cellStyle name="20% - Accent5 2 2 2" xfId="986"/>
    <cellStyle name="20% - Accent5 2 2 2 2" xfId="987"/>
    <cellStyle name="20% - Accent5 2 2 3" xfId="988"/>
    <cellStyle name="20% - Accent5 2 2 3 2" xfId="989"/>
    <cellStyle name="20% - Accent5 2 2 4" xfId="990"/>
    <cellStyle name="20% - Accent5 2 2 5" xfId="991"/>
    <cellStyle name="20% - Accent5 2 3" xfId="96"/>
    <cellStyle name="20% - Accent5 2 4" xfId="992"/>
    <cellStyle name="20% - Accent5 2 5" xfId="993"/>
    <cellStyle name="20% - Accent5 2 6" xfId="994"/>
    <cellStyle name="20% - Accent5 2 6 2" xfId="3580"/>
    <cellStyle name="20% - Accent5 2_QC Sheet" xfId="995"/>
    <cellStyle name="20% - Accent5 3" xfId="97"/>
    <cellStyle name="20% - Accent5 3 2" xfId="996"/>
    <cellStyle name="20% - Accent5 4" xfId="98"/>
    <cellStyle name="20% - Accent5 4 2" xfId="997"/>
    <cellStyle name="20% - Accent5 4 2 2" xfId="5097"/>
    <cellStyle name="20% - Accent5 4 3" xfId="3778"/>
    <cellStyle name="20% - Accent5 4 4" xfId="4644"/>
    <cellStyle name="20% - Accent5 5" xfId="998"/>
    <cellStyle name="20% - Accent5 6" xfId="999"/>
    <cellStyle name="20% - Accent5 7" xfId="1000"/>
    <cellStyle name="20% - Accent5 7 2" xfId="1001"/>
    <cellStyle name="20% - Accent5 7 2 2" xfId="5503"/>
    <cellStyle name="20% - Accent6" xfId="4635" builtinId="50" customBuiltin="1"/>
    <cellStyle name="20% - Accent6 2" xfId="99"/>
    <cellStyle name="20% - Accent6 2 2" xfId="100"/>
    <cellStyle name="20% - Accent6 2 2 2" xfId="1002"/>
    <cellStyle name="20% - Accent6 2 2 2 2" xfId="1003"/>
    <cellStyle name="20% - Accent6 2 2 3" xfId="1004"/>
    <cellStyle name="20% - Accent6 2 2 3 2" xfId="1005"/>
    <cellStyle name="20% - Accent6 2 2 4" xfId="1006"/>
    <cellStyle name="20% - Accent6 2 2 5" xfId="1007"/>
    <cellStyle name="20% - Accent6 2 3" xfId="101"/>
    <cellStyle name="20% - Accent6 2 4" xfId="1008"/>
    <cellStyle name="20% - Accent6 2 5" xfId="1009"/>
    <cellStyle name="20% - Accent6 2 6" xfId="1010"/>
    <cellStyle name="20% - Accent6 2 6 2" xfId="3581"/>
    <cellStyle name="20% - Accent6 2_QC Sheet" xfId="1011"/>
    <cellStyle name="20% - Accent6 3" xfId="102"/>
    <cellStyle name="20% - Accent6 3 2" xfId="1012"/>
    <cellStyle name="20% - Accent6 4" xfId="103"/>
    <cellStyle name="20% - Accent6 4 2" xfId="1013"/>
    <cellStyle name="20% - Accent6 4 2 2" xfId="5087"/>
    <cellStyle name="20% - Accent6 4 3" xfId="3779"/>
    <cellStyle name="20% - Accent6 4 4" xfId="4645"/>
    <cellStyle name="20% - Accent6 5" xfId="1014"/>
    <cellStyle name="20% - Accent6 6" xfId="1015"/>
    <cellStyle name="20% - Accent6 7" xfId="1016"/>
    <cellStyle name="20% - Accent6 7 2" xfId="1017"/>
    <cellStyle name="20% - Accent6 7 2 2" xfId="5505"/>
    <cellStyle name="40% - Accent1" xfId="4617" builtinId="31" customBuiltin="1"/>
    <cellStyle name="40% - Accent1 2" xfId="104"/>
    <cellStyle name="40% - Accent1 2 2" xfId="105"/>
    <cellStyle name="40% - Accent1 2 2 2" xfId="1018"/>
    <cellStyle name="40% - Accent1 2 2 2 2" xfId="1019"/>
    <cellStyle name="40% - Accent1 2 2 3" xfId="1020"/>
    <cellStyle name="40% - Accent1 2 2 3 2" xfId="1021"/>
    <cellStyle name="40% - Accent1 2 2 4" xfId="1022"/>
    <cellStyle name="40% - Accent1 2 2 5" xfId="1023"/>
    <cellStyle name="40% - Accent1 2 3" xfId="106"/>
    <cellStyle name="40% - Accent1 2 3 2" xfId="3582"/>
    <cellStyle name="40% - Accent1 2 4" xfId="1024"/>
    <cellStyle name="40% - Accent1 2 5" xfId="1025"/>
    <cellStyle name="40% - Accent1 2 6" xfId="1026"/>
    <cellStyle name="40% - Accent1 2 6 2" xfId="3583"/>
    <cellStyle name="40% - Accent1 2 7" xfId="1027"/>
    <cellStyle name="40% - Accent1 2_QC Sheet" xfId="1028"/>
    <cellStyle name="40% - Accent1 3" xfId="107"/>
    <cellStyle name="40% - Accent1 3 2" xfId="1029"/>
    <cellStyle name="40% - Accent1 4" xfId="108"/>
    <cellStyle name="40% - Accent1 4 2" xfId="1030"/>
    <cellStyle name="40% - Accent1 4 2 2" xfId="5067"/>
    <cellStyle name="40% - Accent1 4 3" xfId="3780"/>
    <cellStyle name="40% - Accent1 4 4" xfId="4646"/>
    <cellStyle name="40% - Accent1 5" xfId="1031"/>
    <cellStyle name="40% - Accent1 6" xfId="1032"/>
    <cellStyle name="40% - Accent1 7" xfId="1033"/>
    <cellStyle name="40% - Accent1 7 2" xfId="1034"/>
    <cellStyle name="40% - Accent1 7 2 2" xfId="5496"/>
    <cellStyle name="40% - Accent2" xfId="4620" builtinId="35" customBuiltin="1"/>
    <cellStyle name="40% - Accent2 2" xfId="109"/>
    <cellStyle name="40% - Accent2 2 2" xfId="110"/>
    <cellStyle name="40% - Accent2 2 2 2" xfId="1035"/>
    <cellStyle name="40% - Accent2 2 2 2 2" xfId="1036"/>
    <cellStyle name="40% - Accent2 2 2 3" xfId="1037"/>
    <cellStyle name="40% - Accent2 2 2 3 2" xfId="1038"/>
    <cellStyle name="40% - Accent2 2 2 4" xfId="1039"/>
    <cellStyle name="40% - Accent2 2 2 5" xfId="1040"/>
    <cellStyle name="40% - Accent2 2 3" xfId="111"/>
    <cellStyle name="40% - Accent2 2 4" xfId="1041"/>
    <cellStyle name="40% - Accent2 2 5" xfId="1042"/>
    <cellStyle name="40% - Accent2 2 6" xfId="1043"/>
    <cellStyle name="40% - Accent2 2 6 2" xfId="3584"/>
    <cellStyle name="40% - Accent2 2_QC Sheet" xfId="1044"/>
    <cellStyle name="40% - Accent2 3" xfId="112"/>
    <cellStyle name="40% - Accent2 3 2" xfId="1045"/>
    <cellStyle name="40% - Accent2 4" xfId="113"/>
    <cellStyle name="40% - Accent2 4 2" xfId="1046"/>
    <cellStyle name="40% - Accent2 4 2 2" xfId="5068"/>
    <cellStyle name="40% - Accent2 4 3" xfId="3781"/>
    <cellStyle name="40% - Accent2 4 4" xfId="4647"/>
    <cellStyle name="40% - Accent2 5" xfId="1047"/>
    <cellStyle name="40% - Accent2 6" xfId="1048"/>
    <cellStyle name="40% - Accent2 7" xfId="1049"/>
    <cellStyle name="40% - Accent2 7 2" xfId="1050"/>
    <cellStyle name="40% - Accent2 7 2 2" xfId="5498"/>
    <cellStyle name="40% - Accent3" xfId="4624" builtinId="39" customBuiltin="1"/>
    <cellStyle name="40% - Accent3 2" xfId="114"/>
    <cellStyle name="40% - Accent3 2 2" xfId="115"/>
    <cellStyle name="40% - Accent3 2 2 2" xfId="1051"/>
    <cellStyle name="40% - Accent3 2 2 2 2" xfId="1052"/>
    <cellStyle name="40% - Accent3 2 2 3" xfId="1053"/>
    <cellStyle name="40% - Accent3 2 2 3 2" xfId="1054"/>
    <cellStyle name="40% - Accent3 2 2 4" xfId="1055"/>
    <cellStyle name="40% - Accent3 2 2 5" xfId="1056"/>
    <cellStyle name="40% - Accent3 2 3" xfId="116"/>
    <cellStyle name="40% - Accent3 2 3 2" xfId="3585"/>
    <cellStyle name="40% - Accent3 2 4" xfId="1057"/>
    <cellStyle name="40% - Accent3 2 5" xfId="1058"/>
    <cellStyle name="40% - Accent3 2 6" xfId="1059"/>
    <cellStyle name="40% - Accent3 2 6 2" xfId="3586"/>
    <cellStyle name="40% - Accent3 2 7" xfId="1060"/>
    <cellStyle name="40% - Accent3 2_QC Sheet" xfId="1061"/>
    <cellStyle name="40% - Accent3 3" xfId="117"/>
    <cellStyle name="40% - Accent3 3 2" xfId="1062"/>
    <cellStyle name="40% - Accent3 4" xfId="118"/>
    <cellStyle name="40% - Accent3 4 2" xfId="1063"/>
    <cellStyle name="40% - Accent3 4 2 2" xfId="5099"/>
    <cellStyle name="40% - Accent3 4 3" xfId="3782"/>
    <cellStyle name="40% - Accent3 4 4" xfId="4648"/>
    <cellStyle name="40% - Accent3 5" xfId="1064"/>
    <cellStyle name="40% - Accent3 6" xfId="1065"/>
    <cellStyle name="40% - Accent3 7" xfId="1066"/>
    <cellStyle name="40% - Accent3 7 2" xfId="1067"/>
    <cellStyle name="40% - Accent3 7 2 2" xfId="5500"/>
    <cellStyle name="40% - Accent4" xfId="4628" builtinId="43" customBuiltin="1"/>
    <cellStyle name="40% - Accent4 2" xfId="119"/>
    <cellStyle name="40% - Accent4 2 2" xfId="120"/>
    <cellStyle name="40% - Accent4 2 2 2" xfId="1068"/>
    <cellStyle name="40% - Accent4 2 2 2 2" xfId="1069"/>
    <cellStyle name="40% - Accent4 2 2 3" xfId="1070"/>
    <cellStyle name="40% - Accent4 2 2 3 2" xfId="1071"/>
    <cellStyle name="40% - Accent4 2 2 4" xfId="1072"/>
    <cellStyle name="40% - Accent4 2 2 5" xfId="1073"/>
    <cellStyle name="40% - Accent4 2 3" xfId="121"/>
    <cellStyle name="40% - Accent4 2 3 2" xfId="3587"/>
    <cellStyle name="40% - Accent4 2 4" xfId="1074"/>
    <cellStyle name="40% - Accent4 2 5" xfId="1075"/>
    <cellStyle name="40% - Accent4 2 6" xfId="1076"/>
    <cellStyle name="40% - Accent4 2 6 2" xfId="3588"/>
    <cellStyle name="40% - Accent4 2 7" xfId="1077"/>
    <cellStyle name="40% - Accent4 2_QC Sheet" xfId="1078"/>
    <cellStyle name="40% - Accent4 3" xfId="122"/>
    <cellStyle name="40% - Accent4 3 2" xfId="1079"/>
    <cellStyle name="40% - Accent4 4" xfId="123"/>
    <cellStyle name="40% - Accent4 4 2" xfId="1080"/>
    <cellStyle name="40% - Accent4 4 2 2" xfId="5064"/>
    <cellStyle name="40% - Accent4 4 3" xfId="3783"/>
    <cellStyle name="40% - Accent4 4 4" xfId="4649"/>
    <cellStyle name="40% - Accent4 5" xfId="1081"/>
    <cellStyle name="40% - Accent4 6" xfId="1082"/>
    <cellStyle name="40% - Accent4 7" xfId="1083"/>
    <cellStyle name="40% - Accent4 7 2" xfId="1084"/>
    <cellStyle name="40% - Accent4 7 2 2" xfId="5502"/>
    <cellStyle name="40% - Accent5" xfId="4632" builtinId="47" customBuiltin="1"/>
    <cellStyle name="40% - Accent5 2" xfId="124"/>
    <cellStyle name="40% - Accent5 2 2" xfId="125"/>
    <cellStyle name="40% - Accent5 2 2 2" xfId="1085"/>
    <cellStyle name="40% - Accent5 2 2 2 2" xfId="1086"/>
    <cellStyle name="40% - Accent5 2 2 3" xfId="1087"/>
    <cellStyle name="40% - Accent5 2 2 3 2" xfId="1088"/>
    <cellStyle name="40% - Accent5 2 2 4" xfId="1089"/>
    <cellStyle name="40% - Accent5 2 2 5" xfId="1090"/>
    <cellStyle name="40% - Accent5 2 3" xfId="126"/>
    <cellStyle name="40% - Accent5 2 4" xfId="1091"/>
    <cellStyle name="40% - Accent5 2 5" xfId="1092"/>
    <cellStyle name="40% - Accent5 2 6" xfId="1093"/>
    <cellStyle name="40% - Accent5 2 6 2" xfId="3589"/>
    <cellStyle name="40% - Accent5 2_QC Sheet" xfId="1094"/>
    <cellStyle name="40% - Accent5 3" xfId="127"/>
    <cellStyle name="40% - Accent5 3 2" xfId="1095"/>
    <cellStyle name="40% - Accent5 4" xfId="128"/>
    <cellStyle name="40% - Accent5 4 2" xfId="1096"/>
    <cellStyle name="40% - Accent5 4 2 2" xfId="5082"/>
    <cellStyle name="40% - Accent5 4 3" xfId="3784"/>
    <cellStyle name="40% - Accent5 4 4" xfId="4650"/>
    <cellStyle name="40% - Accent5 5" xfId="1097"/>
    <cellStyle name="40% - Accent5 6" xfId="1098"/>
    <cellStyle name="40% - Accent5 7" xfId="1099"/>
    <cellStyle name="40% - Accent5 7 2" xfId="1100"/>
    <cellStyle name="40% - Accent5 7 2 2" xfId="5504"/>
    <cellStyle name="40% - Accent6" xfId="4636" builtinId="51" customBuiltin="1"/>
    <cellStyle name="40% - Accent6 2" xfId="129"/>
    <cellStyle name="40% - Accent6 2 2" xfId="130"/>
    <cellStyle name="40% - Accent6 2 2 2" xfId="1101"/>
    <cellStyle name="40% - Accent6 2 2 2 2" xfId="1102"/>
    <cellStyle name="40% - Accent6 2 2 3" xfId="1103"/>
    <cellStyle name="40% - Accent6 2 2 3 2" xfId="1104"/>
    <cellStyle name="40% - Accent6 2 2 4" xfId="1105"/>
    <cellStyle name="40% - Accent6 2 2 5" xfId="1106"/>
    <cellStyle name="40% - Accent6 2 3" xfId="131"/>
    <cellStyle name="40% - Accent6 2 3 2" xfId="3590"/>
    <cellStyle name="40% - Accent6 2 4" xfId="1107"/>
    <cellStyle name="40% - Accent6 2 5" xfId="1108"/>
    <cellStyle name="40% - Accent6 2 6" xfId="1109"/>
    <cellStyle name="40% - Accent6 2 6 2" xfId="3591"/>
    <cellStyle name="40% - Accent6 2 7" xfId="1110"/>
    <cellStyle name="40% - Accent6 2_QC Sheet" xfId="1111"/>
    <cellStyle name="40% - Accent6 3" xfId="132"/>
    <cellStyle name="40% - Accent6 3 2" xfId="1112"/>
    <cellStyle name="40% - Accent6 4" xfId="133"/>
    <cellStyle name="40% - Accent6 4 2" xfId="1113"/>
    <cellStyle name="40% - Accent6 4 2 2" xfId="5086"/>
    <cellStyle name="40% - Accent6 4 3" xfId="3785"/>
    <cellStyle name="40% - Accent6 4 4" xfId="4651"/>
    <cellStyle name="40% - Accent6 5" xfId="1114"/>
    <cellStyle name="40% - Accent6 6" xfId="1115"/>
    <cellStyle name="40% - Accent6 7" xfId="1116"/>
    <cellStyle name="40% - Accent6 7 2" xfId="1117"/>
    <cellStyle name="40% - Accent6 7 2 2" xfId="5506"/>
    <cellStyle name="60% - Accent1" xfId="4618" builtinId="32" customBuiltin="1"/>
    <cellStyle name="60% - Accent1 2" xfId="134"/>
    <cellStyle name="60% - Accent1 2 2" xfId="135"/>
    <cellStyle name="60% - Accent1 2 2 2" xfId="1118"/>
    <cellStyle name="60% - Accent1 2 2 2 2" xfId="1119"/>
    <cellStyle name="60% - Accent1 2 2 3" xfId="1120"/>
    <cellStyle name="60% - Accent1 2 2 3 2" xfId="1121"/>
    <cellStyle name="60% - Accent1 2 2 4" xfId="1122"/>
    <cellStyle name="60% - Accent1 2 2 5" xfId="1123"/>
    <cellStyle name="60% - Accent1 2 3" xfId="136"/>
    <cellStyle name="60% - Accent1 2 3 2" xfId="3592"/>
    <cellStyle name="60% - Accent1 2 4" xfId="1124"/>
    <cellStyle name="60% - Accent1 2 5" xfId="1125"/>
    <cellStyle name="60% - Accent1 2 5 2" xfId="3593"/>
    <cellStyle name="60% - Accent1 2 6" xfId="1126"/>
    <cellStyle name="60% - Accent1 2_QC Sheet" xfId="1127"/>
    <cellStyle name="60% - Accent1 3" xfId="137"/>
    <cellStyle name="60% - Accent1 3 2" xfId="1128"/>
    <cellStyle name="60% - Accent1 4" xfId="138"/>
    <cellStyle name="60% - Accent1 4 2" xfId="1129"/>
    <cellStyle name="60% - Accent1 4 3" xfId="4652"/>
    <cellStyle name="60% - Accent1 5" xfId="1130"/>
    <cellStyle name="60% - Accent1 6" xfId="1131"/>
    <cellStyle name="60% - Accent1 7" xfId="1132"/>
    <cellStyle name="60% - Accent1 7 2" xfId="1133"/>
    <cellStyle name="60% - Accent2" xfId="4621" builtinId="36" customBuiltin="1"/>
    <cellStyle name="60% - Accent2 2" xfId="139"/>
    <cellStyle name="60% - Accent2 2 2" xfId="140"/>
    <cellStyle name="60% - Accent2 2 2 2" xfId="1134"/>
    <cellStyle name="60% - Accent2 2 2 2 2" xfId="1135"/>
    <cellStyle name="60% - Accent2 2 2 3" xfId="1136"/>
    <cellStyle name="60% - Accent2 2 2 3 2" xfId="1137"/>
    <cellStyle name="60% - Accent2 2 2 4" xfId="1138"/>
    <cellStyle name="60% - Accent2 2 2 5" xfId="1139"/>
    <cellStyle name="60% - Accent2 2 3" xfId="141"/>
    <cellStyle name="60% - Accent2 2 3 2" xfId="3594"/>
    <cellStyle name="60% - Accent2 2 4" xfId="1140"/>
    <cellStyle name="60% - Accent2 2 5" xfId="1141"/>
    <cellStyle name="60% - Accent2 2 5 2" xfId="3595"/>
    <cellStyle name="60% - Accent2 2_QC Sheet" xfId="1142"/>
    <cellStyle name="60% - Accent2 3" xfId="142"/>
    <cellStyle name="60% - Accent2 3 2" xfId="1143"/>
    <cellStyle name="60% - Accent2 4" xfId="143"/>
    <cellStyle name="60% - Accent2 4 2" xfId="1144"/>
    <cellStyle name="60% - Accent2 4 3" xfId="4653"/>
    <cellStyle name="60% - Accent2 5" xfId="1145"/>
    <cellStyle name="60% - Accent2 6" xfId="1146"/>
    <cellStyle name="60% - Accent2 7" xfId="1147"/>
    <cellStyle name="60% - Accent2 7 2" xfId="1148"/>
    <cellStyle name="60% - Accent3" xfId="4625" builtinId="40" customBuiltin="1"/>
    <cellStyle name="60% - Accent3 2" xfId="144"/>
    <cellStyle name="60% - Accent3 2 2" xfId="145"/>
    <cellStyle name="60% - Accent3 2 2 2" xfId="1149"/>
    <cellStyle name="60% - Accent3 2 2 2 2" xfId="1150"/>
    <cellStyle name="60% - Accent3 2 2 3" xfId="1151"/>
    <cellStyle name="60% - Accent3 2 2 3 2" xfId="1152"/>
    <cellStyle name="60% - Accent3 2 2 4" xfId="1153"/>
    <cellStyle name="60% - Accent3 2 2 5" xfId="1154"/>
    <cellStyle name="60% - Accent3 2 3" xfId="146"/>
    <cellStyle name="60% - Accent3 2 3 2" xfId="3596"/>
    <cellStyle name="60% - Accent3 2 4" xfId="1155"/>
    <cellStyle name="60% - Accent3 2 5" xfId="1156"/>
    <cellStyle name="60% - Accent3 2 5 2" xfId="3597"/>
    <cellStyle name="60% - Accent3 2 6" xfId="1157"/>
    <cellStyle name="60% - Accent3 2_QC Sheet" xfId="1158"/>
    <cellStyle name="60% - Accent3 3" xfId="147"/>
    <cellStyle name="60% - Accent3 3 2" xfId="1159"/>
    <cellStyle name="60% - Accent3 4" xfId="148"/>
    <cellStyle name="60% - Accent3 4 2" xfId="1160"/>
    <cellStyle name="60% - Accent3 4 3" xfId="4654"/>
    <cellStyle name="60% - Accent3 5" xfId="1161"/>
    <cellStyle name="60% - Accent3 6" xfId="1162"/>
    <cellStyle name="60% - Accent3 7" xfId="1163"/>
    <cellStyle name="60% - Accent3 7 2" xfId="1164"/>
    <cellStyle name="60% - Accent4" xfId="4629" builtinId="44" customBuiltin="1"/>
    <cellStyle name="60% - Accent4 2" xfId="149"/>
    <cellStyle name="60% - Accent4 2 2" xfId="150"/>
    <cellStyle name="60% - Accent4 2 2 2" xfId="1165"/>
    <cellStyle name="60% - Accent4 2 2 2 2" xfId="1166"/>
    <cellStyle name="60% - Accent4 2 2 3" xfId="1167"/>
    <cellStyle name="60% - Accent4 2 2 3 2" xfId="1168"/>
    <cellStyle name="60% - Accent4 2 2 4" xfId="1169"/>
    <cellStyle name="60% - Accent4 2 2 5" xfId="1170"/>
    <cellStyle name="60% - Accent4 2 3" xfId="151"/>
    <cellStyle name="60% - Accent4 2 3 2" xfId="3598"/>
    <cellStyle name="60% - Accent4 2 4" xfId="1171"/>
    <cellStyle name="60% - Accent4 2 5" xfId="1172"/>
    <cellStyle name="60% - Accent4 2 5 2" xfId="3599"/>
    <cellStyle name="60% - Accent4 2 6" xfId="1173"/>
    <cellStyle name="60% - Accent4 2_QC Sheet" xfId="1174"/>
    <cellStyle name="60% - Accent4 3" xfId="152"/>
    <cellStyle name="60% - Accent4 3 2" xfId="1175"/>
    <cellStyle name="60% - Accent4 4" xfId="153"/>
    <cellStyle name="60% - Accent4 4 2" xfId="1176"/>
    <cellStyle name="60% - Accent4 4 3" xfId="4655"/>
    <cellStyle name="60% - Accent4 5" xfId="1177"/>
    <cellStyle name="60% - Accent4 6" xfId="1178"/>
    <cellStyle name="60% - Accent4 7" xfId="1179"/>
    <cellStyle name="60% - Accent4 7 2" xfId="1180"/>
    <cellStyle name="60% - Accent5" xfId="4633" builtinId="48" customBuiltin="1"/>
    <cellStyle name="60% - Accent5 2" xfId="154"/>
    <cellStyle name="60% - Accent5 2 2" xfId="155"/>
    <cellStyle name="60% - Accent5 2 2 2" xfId="1181"/>
    <cellStyle name="60% - Accent5 2 2 2 2" xfId="1182"/>
    <cellStyle name="60% - Accent5 2 2 3" xfId="1183"/>
    <cellStyle name="60% - Accent5 2 2 3 2" xfId="1184"/>
    <cellStyle name="60% - Accent5 2 2 4" xfId="1185"/>
    <cellStyle name="60% - Accent5 2 2 5" xfId="1186"/>
    <cellStyle name="60% - Accent5 2 3" xfId="156"/>
    <cellStyle name="60% - Accent5 2 3 2" xfId="3600"/>
    <cellStyle name="60% - Accent5 2 4" xfId="1187"/>
    <cellStyle name="60% - Accent5 2 5" xfId="1188"/>
    <cellStyle name="60% - Accent5 2 5 2" xfId="3601"/>
    <cellStyle name="60% - Accent5 2_QC Sheet" xfId="1189"/>
    <cellStyle name="60% - Accent5 3" xfId="157"/>
    <cellStyle name="60% - Accent5 3 2" xfId="1190"/>
    <cellStyle name="60% - Accent5 4" xfId="158"/>
    <cellStyle name="60% - Accent5 4 2" xfId="1191"/>
    <cellStyle name="60% - Accent5 4 3" xfId="4656"/>
    <cellStyle name="60% - Accent5 5" xfId="1192"/>
    <cellStyle name="60% - Accent5 6" xfId="1193"/>
    <cellStyle name="60% - Accent5 7" xfId="1194"/>
    <cellStyle name="60% - Accent5 7 2" xfId="1195"/>
    <cellStyle name="60% - Accent6" xfId="4637" builtinId="52" customBuiltin="1"/>
    <cellStyle name="60% - Accent6 2" xfId="159"/>
    <cellStyle name="60% - Accent6 2 2" xfId="160"/>
    <cellStyle name="60% - Accent6 2 2 2" xfId="1196"/>
    <cellStyle name="60% - Accent6 2 2 2 2" xfId="1197"/>
    <cellStyle name="60% - Accent6 2 2 3" xfId="1198"/>
    <cellStyle name="60% - Accent6 2 2 3 2" xfId="1199"/>
    <cellStyle name="60% - Accent6 2 2 4" xfId="1200"/>
    <cellStyle name="60% - Accent6 2 2 5" xfId="1201"/>
    <cellStyle name="60% - Accent6 2 3" xfId="161"/>
    <cellStyle name="60% - Accent6 2 3 2" xfId="3602"/>
    <cellStyle name="60% - Accent6 2 4" xfId="1202"/>
    <cellStyle name="60% - Accent6 2 5" xfId="1203"/>
    <cellStyle name="60% - Accent6 2 5 2" xfId="3603"/>
    <cellStyle name="60% - Accent6 2 6" xfId="1204"/>
    <cellStyle name="60% - Accent6 2_QC Sheet" xfId="1205"/>
    <cellStyle name="60% - Accent6 3" xfId="162"/>
    <cellStyle name="60% - Accent6 3 2" xfId="1206"/>
    <cellStyle name="60% - Accent6 4" xfId="163"/>
    <cellStyle name="60% - Accent6 4 2" xfId="1207"/>
    <cellStyle name="60% - Accent6 4 3" xfId="4657"/>
    <cellStyle name="60% - Accent6 5" xfId="1208"/>
    <cellStyle name="60% - Accent6 6" xfId="1209"/>
    <cellStyle name="60% - Accent6 7" xfId="1210"/>
    <cellStyle name="60% - Accent6 7 2" xfId="1211"/>
    <cellStyle name="Accent1" xfId="4615" builtinId="29" customBuiltin="1"/>
    <cellStyle name="Accent1 2" xfId="164"/>
    <cellStyle name="Accent1 2 2" xfId="165"/>
    <cellStyle name="Accent1 2 2 2" xfId="1212"/>
    <cellStyle name="Accent1 2 2 2 2" xfId="1213"/>
    <cellStyle name="Accent1 2 2 3" xfId="1214"/>
    <cellStyle name="Accent1 2 2 3 2" xfId="1215"/>
    <cellStyle name="Accent1 2 2 4" xfId="1216"/>
    <cellStyle name="Accent1 2 2 5" xfId="1217"/>
    <cellStyle name="Accent1 2 3" xfId="166"/>
    <cellStyle name="Accent1 2 3 2" xfId="3604"/>
    <cellStyle name="Accent1 2 4" xfId="167"/>
    <cellStyle name="Accent1 2 4 2" xfId="3605"/>
    <cellStyle name="Accent1 2 5" xfId="1218"/>
    <cellStyle name="Accent1 2 5 2" xfId="3606"/>
    <cellStyle name="Accent1 2 6" xfId="1219"/>
    <cellStyle name="Accent1 2_QC Sheet" xfId="1220"/>
    <cellStyle name="Accent1 3" xfId="168"/>
    <cellStyle name="Accent1 3 2" xfId="1221"/>
    <cellStyle name="Accent1 4" xfId="169"/>
    <cellStyle name="Accent1 4 2" xfId="1222"/>
    <cellStyle name="Accent1 4 3" xfId="4658"/>
    <cellStyle name="Accent1 5" xfId="1223"/>
    <cellStyle name="Accent1 6" xfId="1224"/>
    <cellStyle name="Accent1 7" xfId="1225"/>
    <cellStyle name="Accent1 7 2" xfId="1226"/>
    <cellStyle name="Accent2" xfId="390" builtinId="33" customBuiltin="1"/>
    <cellStyle name="Accent2 2" xfId="170"/>
    <cellStyle name="Accent2 2 2" xfId="171"/>
    <cellStyle name="Accent2 2 2 2" xfId="1227"/>
    <cellStyle name="Accent2 2 2 2 2" xfId="1228"/>
    <cellStyle name="Accent2 2 2 3" xfId="1229"/>
    <cellStyle name="Accent2 2 2 3 2" xfId="1230"/>
    <cellStyle name="Accent2 2 2 4" xfId="1231"/>
    <cellStyle name="Accent2 2 2 5" xfId="1232"/>
    <cellStyle name="Accent2 2 3" xfId="172"/>
    <cellStyle name="Accent2 2 3 2" xfId="3607"/>
    <cellStyle name="Accent2 2 4" xfId="1233"/>
    <cellStyle name="Accent2 2 5" xfId="1234"/>
    <cellStyle name="Accent2 2 5 2" xfId="3608"/>
    <cellStyle name="Accent2 2_QC Sheet" xfId="1235"/>
    <cellStyle name="Accent2 3" xfId="173"/>
    <cellStyle name="Accent2 3 2" xfId="1236"/>
    <cellStyle name="Accent2 4" xfId="174"/>
    <cellStyle name="Accent2 4 2" xfId="1237"/>
    <cellStyle name="Accent2 4 3" xfId="4659"/>
    <cellStyle name="Accent2 5" xfId="1238"/>
    <cellStyle name="Accent2 6" xfId="1239"/>
    <cellStyle name="Accent2 7" xfId="1240"/>
    <cellStyle name="Accent2 7 2" xfId="1241"/>
    <cellStyle name="Accent3" xfId="4622" builtinId="37" customBuiltin="1"/>
    <cellStyle name="Accent3 2" xfId="175"/>
    <cellStyle name="Accent3 2 2" xfId="176"/>
    <cellStyle name="Accent3 2 2 2" xfId="1242"/>
    <cellStyle name="Accent3 2 2 2 2" xfId="1243"/>
    <cellStyle name="Accent3 2 2 3" xfId="1244"/>
    <cellStyle name="Accent3 2 2 3 2" xfId="1245"/>
    <cellStyle name="Accent3 2 2 4" xfId="1246"/>
    <cellStyle name="Accent3 2 2 5" xfId="1247"/>
    <cellStyle name="Accent3 2 3" xfId="177"/>
    <cellStyle name="Accent3 2 3 2" xfId="3609"/>
    <cellStyle name="Accent3 2 4" xfId="178"/>
    <cellStyle name="Accent3 2 4 2" xfId="3610"/>
    <cellStyle name="Accent3 2 5" xfId="1248"/>
    <cellStyle name="Accent3 2 5 2" xfId="3611"/>
    <cellStyle name="Accent3 2_QC Sheet" xfId="1249"/>
    <cellStyle name="Accent3 3" xfId="179"/>
    <cellStyle name="Accent3 3 2" xfId="1250"/>
    <cellStyle name="Accent3 4" xfId="180"/>
    <cellStyle name="Accent3 4 2" xfId="1251"/>
    <cellStyle name="Accent3 4 3" xfId="4660"/>
    <cellStyle name="Accent3 5" xfId="1252"/>
    <cellStyle name="Accent3 6" xfId="1253"/>
    <cellStyle name="Accent3 7" xfId="1254"/>
    <cellStyle name="Accent3 7 2" xfId="1255"/>
    <cellStyle name="Accent4" xfId="4626" builtinId="41" customBuiltin="1"/>
    <cellStyle name="Accent4 2" xfId="181"/>
    <cellStyle name="Accent4 2 2" xfId="182"/>
    <cellStyle name="Accent4 2 2 2" xfId="1256"/>
    <cellStyle name="Accent4 2 2 2 2" xfId="1257"/>
    <cellStyle name="Accent4 2 2 3" xfId="1258"/>
    <cellStyle name="Accent4 2 2 3 2" xfId="1259"/>
    <cellStyle name="Accent4 2 2 4" xfId="1260"/>
    <cellStyle name="Accent4 2 2 5" xfId="1261"/>
    <cellStyle name="Accent4 2 3" xfId="183"/>
    <cellStyle name="Accent4 2 3 2" xfId="3612"/>
    <cellStyle name="Accent4 2 4" xfId="184"/>
    <cellStyle name="Accent4 2 4 2" xfId="3613"/>
    <cellStyle name="Accent4 2 5" xfId="1262"/>
    <cellStyle name="Accent4 2 5 2" xfId="3614"/>
    <cellStyle name="Accent4 2 6" xfId="1263"/>
    <cellStyle name="Accent4 2_QC Sheet" xfId="1264"/>
    <cellStyle name="Accent4 3" xfId="185"/>
    <cellStyle name="Accent4 3 2" xfId="1265"/>
    <cellStyle name="Accent4 4" xfId="186"/>
    <cellStyle name="Accent4 4 2" xfId="1266"/>
    <cellStyle name="Accent4 4 3" xfId="4661"/>
    <cellStyle name="Accent4 5" xfId="1267"/>
    <cellStyle name="Accent4 6" xfId="1268"/>
    <cellStyle name="Accent4 7" xfId="1269"/>
    <cellStyle name="Accent4 7 2" xfId="1270"/>
    <cellStyle name="Accent5" xfId="4630" builtinId="45" customBuiltin="1"/>
    <cellStyle name="Accent5 2" xfId="187"/>
    <cellStyle name="Accent5 2 2" xfId="188"/>
    <cellStyle name="Accent5 2 2 2" xfId="1271"/>
    <cellStyle name="Accent5 2 2 2 2" xfId="1272"/>
    <cellStyle name="Accent5 2 2 3" xfId="1273"/>
    <cellStyle name="Accent5 2 2 3 2" xfId="1274"/>
    <cellStyle name="Accent5 2 2 4" xfId="1275"/>
    <cellStyle name="Accent5 2 2 5" xfId="1276"/>
    <cellStyle name="Accent5 2 3" xfId="189"/>
    <cellStyle name="Accent5 2 3 2" xfId="3615"/>
    <cellStyle name="Accent5 2 4" xfId="1277"/>
    <cellStyle name="Accent5 2 5" xfId="1278"/>
    <cellStyle name="Accent5 2 5 2" xfId="3616"/>
    <cellStyle name="Accent5 2_QC Sheet" xfId="1279"/>
    <cellStyle name="Accent5 3" xfId="190"/>
    <cellStyle name="Accent5 3 2" xfId="1280"/>
    <cellStyle name="Accent5 4" xfId="191"/>
    <cellStyle name="Accent5 4 2" xfId="1281"/>
    <cellStyle name="Accent5 4 3" xfId="4662"/>
    <cellStyle name="Accent5 5" xfId="1282"/>
    <cellStyle name="Accent5 6" xfId="1283"/>
    <cellStyle name="Accent5 7" xfId="1284"/>
    <cellStyle name="Accent5 7 2" xfId="1285"/>
    <cellStyle name="Accent6" xfId="4634" builtinId="49" customBuiltin="1"/>
    <cellStyle name="Accent6 2" xfId="192"/>
    <cellStyle name="Accent6 2 2" xfId="193"/>
    <cellStyle name="Accent6 2 2 2" xfId="1286"/>
    <cellStyle name="Accent6 2 2 2 2" xfId="1287"/>
    <cellStyle name="Accent6 2 2 3" xfId="1288"/>
    <cellStyle name="Accent6 2 2 3 2" xfId="1289"/>
    <cellStyle name="Accent6 2 2 4" xfId="1290"/>
    <cellStyle name="Accent6 2 2 5" xfId="1291"/>
    <cellStyle name="Accent6 2 3" xfId="194"/>
    <cellStyle name="Accent6 2 3 2" xfId="3617"/>
    <cellStyle name="Accent6 2 4" xfId="195"/>
    <cellStyle name="Accent6 2 4 2" xfId="3618"/>
    <cellStyle name="Accent6 2 5" xfId="1292"/>
    <cellStyle name="Accent6 2 5 2" xfId="3619"/>
    <cellStyle name="Accent6 2_QC Sheet" xfId="1293"/>
    <cellStyle name="Accent6 3" xfId="196"/>
    <cellStyle name="Accent6 3 2" xfId="1294"/>
    <cellStyle name="Accent6 4" xfId="197"/>
    <cellStyle name="Accent6 4 2" xfId="1295"/>
    <cellStyle name="Accent6 4 3" xfId="4663"/>
    <cellStyle name="Accent6 5" xfId="1296"/>
    <cellStyle name="Accent6 6" xfId="1297"/>
    <cellStyle name="Accent6 7" xfId="1298"/>
    <cellStyle name="Accent6 7 2" xfId="1299"/>
    <cellStyle name="Actual Date" xfId="1300"/>
    <cellStyle name="Actual Date 2" xfId="1301"/>
    <cellStyle name="Adjustable" xfId="1302"/>
    <cellStyle name="Adjustable 2" xfId="1303"/>
    <cellStyle name="Bad" xfId="388" builtinId="27" customBuiltin="1"/>
    <cellStyle name="Bad 2" xfId="198"/>
    <cellStyle name="Bad 2 2" xfId="199"/>
    <cellStyle name="Bad 2 2 2" xfId="1304"/>
    <cellStyle name="Bad 2 2 2 2" xfId="1305"/>
    <cellStyle name="Bad 2 2 3" xfId="1306"/>
    <cellStyle name="Bad 2 2 3 2" xfId="1307"/>
    <cellStyle name="Bad 2 2 4" xfId="1308"/>
    <cellStyle name="Bad 2 2 5" xfId="1309"/>
    <cellStyle name="Bad 2 3" xfId="200"/>
    <cellStyle name="Bad 2 3 2" xfId="3620"/>
    <cellStyle name="Bad 2 4" xfId="616"/>
    <cellStyle name="Bad 2 4 2" xfId="3621"/>
    <cellStyle name="Bad 2 5" xfId="612"/>
    <cellStyle name="Bad 2 5 2" xfId="5106"/>
    <cellStyle name="Bad 2_QC Sheet" xfId="1310"/>
    <cellStyle name="Bad 3" xfId="201"/>
    <cellStyle name="Bad 3 2" xfId="1311"/>
    <cellStyle name="Bad 4" xfId="202"/>
    <cellStyle name="Bad 4 2" xfId="1312"/>
    <cellStyle name="Bad 4 3" xfId="4664"/>
    <cellStyle name="Bad 5" xfId="1313"/>
    <cellStyle name="Bad 6" xfId="1314"/>
    <cellStyle name="Bad 7" xfId="1315"/>
    <cellStyle name="Bad 7 2" xfId="1316"/>
    <cellStyle name="Calc Currency (0)" xfId="1317"/>
    <cellStyle name="Calculation" xfId="4609" builtinId="22" customBuiltin="1"/>
    <cellStyle name="Calculation 2" xfId="203"/>
    <cellStyle name="Calculation 2 2" xfId="204"/>
    <cellStyle name="Calculation 2 2 2" xfId="1318"/>
    <cellStyle name="Calculation 2 2 2 2" xfId="1319"/>
    <cellStyle name="Calculation 2 2 3" xfId="1320"/>
    <cellStyle name="Calculation 2 2 3 2" xfId="1321"/>
    <cellStyle name="Calculation 2 2 4" xfId="1322"/>
    <cellStyle name="Calculation 2 2 5" xfId="1323"/>
    <cellStyle name="Calculation 2 3" xfId="205"/>
    <cellStyle name="Calculation 2 3 2" xfId="3622"/>
    <cellStyle name="Calculation 2 4" xfId="1324"/>
    <cellStyle name="Calculation 2 5" xfId="1325"/>
    <cellStyle name="Calculation 2 5 2" xfId="3623"/>
    <cellStyle name="Calculation 2 6" xfId="1326"/>
    <cellStyle name="Calculation 2_QC" xfId="1327"/>
    <cellStyle name="Calculation 3" xfId="206"/>
    <cellStyle name="Calculation 3 2" xfId="1328"/>
    <cellStyle name="Calculation 3 3" xfId="1329"/>
    <cellStyle name="Calculation 4" xfId="207"/>
    <cellStyle name="Calculation 4 2" xfId="1330"/>
    <cellStyle name="Calculation 4 3" xfId="1331"/>
    <cellStyle name="Calculation 5" xfId="1332"/>
    <cellStyle name="Calculation 5 2" xfId="1333"/>
    <cellStyle name="Calculation 6" xfId="1334"/>
    <cellStyle name="Calculation 7" xfId="1335"/>
    <cellStyle name="Calculation 7 2" xfId="1336"/>
    <cellStyle name="Check Cell" xfId="4611" builtinId="23" customBuiltin="1"/>
    <cellStyle name="Check Cell 2" xfId="208"/>
    <cellStyle name="Check Cell 2 2" xfId="209"/>
    <cellStyle name="Check Cell 2 2 2" xfId="1337"/>
    <cellStyle name="Check Cell 2 2 2 2" xfId="1338"/>
    <cellStyle name="Check Cell 2 2 3" xfId="1339"/>
    <cellStyle name="Check Cell 2 2 3 2" xfId="1340"/>
    <cellStyle name="Check Cell 2 2 4" xfId="1341"/>
    <cellStyle name="Check Cell 2 2 5" xfId="1342"/>
    <cellStyle name="Check Cell 2 3" xfId="210"/>
    <cellStyle name="Check Cell 2 3 2" xfId="3624"/>
    <cellStyle name="Check Cell 2 4" xfId="211"/>
    <cellStyle name="Check Cell 2 4 2" xfId="3625"/>
    <cellStyle name="Check Cell 2 5" xfId="1343"/>
    <cellStyle name="Check Cell 2 5 2" xfId="3626"/>
    <cellStyle name="Check Cell 2 6" xfId="1344"/>
    <cellStyle name="Check Cell 2_QC" xfId="1345"/>
    <cellStyle name="Check Cell 3" xfId="212"/>
    <cellStyle name="Check Cell 3 2" xfId="1346"/>
    <cellStyle name="Check Cell 4" xfId="213"/>
    <cellStyle name="Check Cell 4 2" xfId="1347"/>
    <cellStyle name="Check Cell 4 3" xfId="4665"/>
    <cellStyle name="Check Cell 5" xfId="214"/>
    <cellStyle name="Check Cell 5 2" xfId="4690"/>
    <cellStyle name="Check Cell 6" xfId="1348"/>
    <cellStyle name="Check Cell 7" xfId="1349"/>
    <cellStyle name="Check Cell 7 2" xfId="1350"/>
    <cellStyle name="Comma" xfId="1" builtinId="3"/>
    <cellStyle name="Comma [0]" xfId="5555" builtinId="6"/>
    <cellStyle name="Comma 0" xfId="1351"/>
    <cellStyle name="Comma 10" xfId="393"/>
    <cellStyle name="Comma 10 2" xfId="487"/>
    <cellStyle name="Comma 10 2 2" xfId="493"/>
    <cellStyle name="Comma 10 2 2 2" xfId="387"/>
    <cellStyle name="Comma 10 2 2 3" xfId="747"/>
    <cellStyle name="Comma 10 2 3" xfId="741"/>
    <cellStyle name="Comma 10 2 3 2" xfId="3787"/>
    <cellStyle name="Comma 10 2 4" xfId="3899"/>
    <cellStyle name="Comma 10 3" xfId="492"/>
    <cellStyle name="Comma 10 3 2" xfId="746"/>
    <cellStyle name="Comma 10 3 2 2" xfId="4389"/>
    <cellStyle name="Comma 10 3 3" xfId="3788"/>
    <cellStyle name="Comma 10 4" xfId="682"/>
    <cellStyle name="Comma 10 4 2" xfId="3789"/>
    <cellStyle name="Comma 10 5" xfId="3786"/>
    <cellStyle name="Comma 10 6" xfId="3898"/>
    <cellStyle name="Comma 11" xfId="489"/>
    <cellStyle name="Comma 11 2" xfId="743"/>
    <cellStyle name="Comma 11 2 2" xfId="1352"/>
    <cellStyle name="Comma 11 2 3" xfId="5081"/>
    <cellStyle name="Comma 11 3" xfId="1353"/>
    <cellStyle name="Comma 11 3 2" xfId="1354"/>
    <cellStyle name="Comma 11 3 3" xfId="1355"/>
    <cellStyle name="Comma 11 4" xfId="1356"/>
    <cellStyle name="Comma 11 5" xfId="4683"/>
    <cellStyle name="Comma 12" xfId="1357"/>
    <cellStyle name="Comma 12 2" xfId="1358"/>
    <cellStyle name="Comma 12 3" xfId="1359"/>
    <cellStyle name="Comma 12 4" xfId="1360"/>
    <cellStyle name="Comma 13" xfId="1361"/>
    <cellStyle name="Comma 13 2" xfId="1362"/>
    <cellStyle name="Comma 13 2 2" xfId="1363"/>
    <cellStyle name="Comma 13 2 3" xfId="1364"/>
    <cellStyle name="Comma 13 3" xfId="1365"/>
    <cellStyle name="Comma 13 3 10" xfId="4697"/>
    <cellStyle name="Comma 13 3 2" xfId="1366"/>
    <cellStyle name="Comma 13 3 2 2" xfId="1367"/>
    <cellStyle name="Comma 13 3 2 2 2" xfId="1368"/>
    <cellStyle name="Comma 13 3 2 2 2 2" xfId="1369"/>
    <cellStyle name="Comma 13 3 2 2 2 2 2" xfId="5311"/>
    <cellStyle name="Comma 13 3 2 2 2 3" xfId="4888"/>
    <cellStyle name="Comma 13 3 2 2 3" xfId="1370"/>
    <cellStyle name="Comma 13 3 2 2 3 2" xfId="5225"/>
    <cellStyle name="Comma 13 3 2 2 4" xfId="4799"/>
    <cellStyle name="Comma 13 3 2 3" xfId="1371"/>
    <cellStyle name="Comma 13 3 2 3 2" xfId="1372"/>
    <cellStyle name="Comma 13 3 2 3 2 2" xfId="5310"/>
    <cellStyle name="Comma 13 3 2 3 3" xfId="4887"/>
    <cellStyle name="Comma 13 3 2 4" xfId="1373"/>
    <cellStyle name="Comma 13 3 2 4 2" xfId="5185"/>
    <cellStyle name="Comma 13 3 2 5" xfId="4756"/>
    <cellStyle name="Comma 13 3 3" xfId="1374"/>
    <cellStyle name="Comma 13 3 3 2" xfId="1375"/>
    <cellStyle name="Comma 13 3 3 2 2" xfId="1376"/>
    <cellStyle name="Comma 13 3 3 2 2 2" xfId="5312"/>
    <cellStyle name="Comma 13 3 3 2 3" xfId="4889"/>
    <cellStyle name="Comma 13 3 3 3" xfId="1377"/>
    <cellStyle name="Comma 13 3 3 3 2" xfId="5247"/>
    <cellStyle name="Comma 13 3 3 4" xfId="4821"/>
    <cellStyle name="Comma 13 3 4" xfId="1378"/>
    <cellStyle name="Comma 13 3 4 2" xfId="1379"/>
    <cellStyle name="Comma 13 3 4 2 2" xfId="1380"/>
    <cellStyle name="Comma 13 3 4 2 2 2" xfId="5313"/>
    <cellStyle name="Comma 13 3 4 2 3" xfId="4890"/>
    <cellStyle name="Comma 13 3 4 3" xfId="1381"/>
    <cellStyle name="Comma 13 3 4 3 2" xfId="5210"/>
    <cellStyle name="Comma 13 3 4 4" xfId="4784"/>
    <cellStyle name="Comma 13 3 5" xfId="1382"/>
    <cellStyle name="Comma 13 3 5 2" xfId="1383"/>
    <cellStyle name="Comma 13 3 5 2 2" xfId="1384"/>
    <cellStyle name="Comma 13 3 5 2 2 2" xfId="5314"/>
    <cellStyle name="Comma 13 3 5 2 3" xfId="4891"/>
    <cellStyle name="Comma 13 3 5 3" xfId="1385"/>
    <cellStyle name="Comma 13 3 5 3 2" xfId="5283"/>
    <cellStyle name="Comma 13 3 5 4" xfId="4860"/>
    <cellStyle name="Comma 13 3 6" xfId="1386"/>
    <cellStyle name="Comma 13 3 6 2" xfId="1387"/>
    <cellStyle name="Comma 13 3 6 2 2" xfId="1388"/>
    <cellStyle name="Comma 13 3 6 2 2 2" xfId="5315"/>
    <cellStyle name="Comma 13 3 6 2 3" xfId="4892"/>
    <cellStyle name="Comma 13 3 6 3" xfId="1389"/>
    <cellStyle name="Comma 13 3 6 3 2" xfId="5170"/>
    <cellStyle name="Comma 13 3 6 4" xfId="4741"/>
    <cellStyle name="Comma 13 3 7" xfId="1390"/>
    <cellStyle name="Comma 13 3 7 2" xfId="1391"/>
    <cellStyle name="Comma 13 3 7 2 2" xfId="5309"/>
    <cellStyle name="Comma 13 3 7 3" xfId="4886"/>
    <cellStyle name="Comma 13 3 8" xfId="1392"/>
    <cellStyle name="Comma 13 3 9" xfId="1393"/>
    <cellStyle name="Comma 13 3 9 2" xfId="5145"/>
    <cellStyle name="Comma 13 4" xfId="1394"/>
    <cellStyle name="Comma 13 5" xfId="1395"/>
    <cellStyle name="Comma 14" xfId="1396"/>
    <cellStyle name="Comma 14 2" xfId="1397"/>
    <cellStyle name="Comma 14 2 2" xfId="1398"/>
    <cellStyle name="Comma 14 3" xfId="1399"/>
    <cellStyle name="Comma 15" xfId="1400"/>
    <cellStyle name="Comma 15 10" xfId="1401"/>
    <cellStyle name="Comma 15 11" xfId="1402"/>
    <cellStyle name="Comma 15 11 2" xfId="5146"/>
    <cellStyle name="Comma 15 12" xfId="4698"/>
    <cellStyle name="Comma 15 2" xfId="1403"/>
    <cellStyle name="Comma 15 2 10" xfId="1404"/>
    <cellStyle name="Comma 15 2 10 2" xfId="5147"/>
    <cellStyle name="Comma 15 2 11" xfId="4699"/>
    <cellStyle name="Comma 15 2 2" xfId="1405"/>
    <cellStyle name="Comma 15 2 2 10" xfId="4700"/>
    <cellStyle name="Comma 15 2 2 2" xfId="1406"/>
    <cellStyle name="Comma 15 2 2 2 2" xfId="1407"/>
    <cellStyle name="Comma 15 2 2 2 2 2" xfId="1408"/>
    <cellStyle name="Comma 15 2 2 2 2 2 2" xfId="1409"/>
    <cellStyle name="Comma 15 2 2 2 2 2 2 2" xfId="5320"/>
    <cellStyle name="Comma 15 2 2 2 2 2 3" xfId="4897"/>
    <cellStyle name="Comma 15 2 2 2 2 3" xfId="1410"/>
    <cellStyle name="Comma 15 2 2 2 2 3 2" xfId="5228"/>
    <cellStyle name="Comma 15 2 2 2 2 4" xfId="4802"/>
    <cellStyle name="Comma 15 2 2 2 3" xfId="1411"/>
    <cellStyle name="Comma 15 2 2 2 3 2" xfId="1412"/>
    <cellStyle name="Comma 15 2 2 2 3 2 2" xfId="5319"/>
    <cellStyle name="Comma 15 2 2 2 3 3" xfId="4896"/>
    <cellStyle name="Comma 15 2 2 2 4" xfId="1413"/>
    <cellStyle name="Comma 15 2 2 2 4 2" xfId="5188"/>
    <cellStyle name="Comma 15 2 2 2 5" xfId="4759"/>
    <cellStyle name="Comma 15 2 2 3" xfId="1414"/>
    <cellStyle name="Comma 15 2 2 3 2" xfId="1415"/>
    <cellStyle name="Comma 15 2 2 3 2 2" xfId="1416"/>
    <cellStyle name="Comma 15 2 2 3 2 2 2" xfId="5321"/>
    <cellStyle name="Comma 15 2 2 3 2 3" xfId="4898"/>
    <cellStyle name="Comma 15 2 2 3 3" xfId="1417"/>
    <cellStyle name="Comma 15 2 2 3 3 2" xfId="5250"/>
    <cellStyle name="Comma 15 2 2 3 4" xfId="4824"/>
    <cellStyle name="Comma 15 2 2 4" xfId="1418"/>
    <cellStyle name="Comma 15 2 2 4 2" xfId="1419"/>
    <cellStyle name="Comma 15 2 2 4 2 2" xfId="1420"/>
    <cellStyle name="Comma 15 2 2 4 2 2 2" xfId="5322"/>
    <cellStyle name="Comma 15 2 2 4 2 3" xfId="4899"/>
    <cellStyle name="Comma 15 2 2 4 3" xfId="1421"/>
    <cellStyle name="Comma 15 2 2 4 3 2" xfId="5213"/>
    <cellStyle name="Comma 15 2 2 4 4" xfId="4787"/>
    <cellStyle name="Comma 15 2 2 5" xfId="1422"/>
    <cellStyle name="Comma 15 2 2 5 2" xfId="1423"/>
    <cellStyle name="Comma 15 2 2 5 2 2" xfId="1424"/>
    <cellStyle name="Comma 15 2 2 5 2 2 2" xfId="5323"/>
    <cellStyle name="Comma 15 2 2 5 2 3" xfId="4900"/>
    <cellStyle name="Comma 15 2 2 5 3" xfId="1425"/>
    <cellStyle name="Comma 15 2 2 5 3 2" xfId="5286"/>
    <cellStyle name="Comma 15 2 2 5 4" xfId="4863"/>
    <cellStyle name="Comma 15 2 2 6" xfId="1426"/>
    <cellStyle name="Comma 15 2 2 6 2" xfId="1427"/>
    <cellStyle name="Comma 15 2 2 6 2 2" xfId="1428"/>
    <cellStyle name="Comma 15 2 2 6 2 2 2" xfId="5324"/>
    <cellStyle name="Comma 15 2 2 6 2 3" xfId="4901"/>
    <cellStyle name="Comma 15 2 2 6 3" xfId="1429"/>
    <cellStyle name="Comma 15 2 2 6 3 2" xfId="5173"/>
    <cellStyle name="Comma 15 2 2 6 4" xfId="4744"/>
    <cellStyle name="Comma 15 2 2 7" xfId="1430"/>
    <cellStyle name="Comma 15 2 2 7 2" xfId="1431"/>
    <cellStyle name="Comma 15 2 2 7 2 2" xfId="5318"/>
    <cellStyle name="Comma 15 2 2 7 3" xfId="4895"/>
    <cellStyle name="Comma 15 2 2 8" xfId="1432"/>
    <cellStyle name="Comma 15 2 2 8 2" xfId="5148"/>
    <cellStyle name="Comma 15 2 2 9" xfId="4391"/>
    <cellStyle name="Comma 15 2 3" xfId="1433"/>
    <cellStyle name="Comma 15 2 3 2" xfId="1434"/>
    <cellStyle name="Comma 15 2 3 2 2" xfId="1435"/>
    <cellStyle name="Comma 15 2 3 2 2 2" xfId="1436"/>
    <cellStyle name="Comma 15 2 3 2 2 2 2" xfId="5326"/>
    <cellStyle name="Comma 15 2 3 2 2 3" xfId="4903"/>
    <cellStyle name="Comma 15 2 3 2 3" xfId="1437"/>
    <cellStyle name="Comma 15 2 3 2 3 2" xfId="5227"/>
    <cellStyle name="Comma 15 2 3 2 4" xfId="4801"/>
    <cellStyle name="Comma 15 2 3 3" xfId="1438"/>
    <cellStyle name="Comma 15 2 3 3 2" xfId="1439"/>
    <cellStyle name="Comma 15 2 3 3 2 2" xfId="5325"/>
    <cellStyle name="Comma 15 2 3 3 3" xfId="4902"/>
    <cellStyle name="Comma 15 2 3 4" xfId="1440"/>
    <cellStyle name="Comma 15 2 3 4 2" xfId="5187"/>
    <cellStyle name="Comma 15 2 3 5" xfId="4758"/>
    <cellStyle name="Comma 15 2 4" xfId="1441"/>
    <cellStyle name="Comma 15 2 4 2" xfId="1442"/>
    <cellStyle name="Comma 15 2 4 2 2" xfId="1443"/>
    <cellStyle name="Comma 15 2 4 2 2 2" xfId="5327"/>
    <cellStyle name="Comma 15 2 4 2 3" xfId="4904"/>
    <cellStyle name="Comma 15 2 4 3" xfId="1444"/>
    <cellStyle name="Comma 15 2 4 3 2" xfId="5249"/>
    <cellStyle name="Comma 15 2 4 4" xfId="4823"/>
    <cellStyle name="Comma 15 2 5" xfId="1445"/>
    <cellStyle name="Comma 15 2 5 2" xfId="1446"/>
    <cellStyle name="Comma 15 2 5 2 2" xfId="1447"/>
    <cellStyle name="Comma 15 2 5 2 2 2" xfId="5328"/>
    <cellStyle name="Comma 15 2 5 2 3" xfId="4905"/>
    <cellStyle name="Comma 15 2 5 3" xfId="1448"/>
    <cellStyle name="Comma 15 2 5 3 2" xfId="5212"/>
    <cellStyle name="Comma 15 2 5 4" xfId="4786"/>
    <cellStyle name="Comma 15 2 6" xfId="1449"/>
    <cellStyle name="Comma 15 2 6 2" xfId="1450"/>
    <cellStyle name="Comma 15 2 6 2 2" xfId="1451"/>
    <cellStyle name="Comma 15 2 6 2 2 2" xfId="5329"/>
    <cellStyle name="Comma 15 2 6 2 3" xfId="4906"/>
    <cellStyle name="Comma 15 2 6 3" xfId="1452"/>
    <cellStyle name="Comma 15 2 6 3 2" xfId="5285"/>
    <cellStyle name="Comma 15 2 6 4" xfId="4862"/>
    <cellStyle name="Comma 15 2 7" xfId="1453"/>
    <cellStyle name="Comma 15 2 7 2" xfId="1454"/>
    <cellStyle name="Comma 15 2 7 2 2" xfId="1455"/>
    <cellStyle name="Comma 15 2 7 2 2 2" xfId="5330"/>
    <cellStyle name="Comma 15 2 7 2 3" xfId="4907"/>
    <cellStyle name="Comma 15 2 7 3" xfId="1456"/>
    <cellStyle name="Comma 15 2 7 3 2" xfId="5172"/>
    <cellStyle name="Comma 15 2 7 4" xfId="4743"/>
    <cellStyle name="Comma 15 2 8" xfId="1457"/>
    <cellStyle name="Comma 15 2 8 2" xfId="1458"/>
    <cellStyle name="Comma 15 2 8 2 2" xfId="5317"/>
    <cellStyle name="Comma 15 2 8 3" xfId="4894"/>
    <cellStyle name="Comma 15 2 9" xfId="1459"/>
    <cellStyle name="Comma 15 3" xfId="1460"/>
    <cellStyle name="Comma 15 3 10" xfId="4701"/>
    <cellStyle name="Comma 15 3 2" xfId="1461"/>
    <cellStyle name="Comma 15 3 2 2" xfId="1462"/>
    <cellStyle name="Comma 15 3 2 2 2" xfId="1463"/>
    <cellStyle name="Comma 15 3 2 2 2 2" xfId="1464"/>
    <cellStyle name="Comma 15 3 2 2 2 2 2" xfId="5333"/>
    <cellStyle name="Comma 15 3 2 2 2 3" xfId="4910"/>
    <cellStyle name="Comma 15 3 2 2 3" xfId="1465"/>
    <cellStyle name="Comma 15 3 2 2 3 2" xfId="5229"/>
    <cellStyle name="Comma 15 3 2 2 4" xfId="4803"/>
    <cellStyle name="Comma 15 3 2 3" xfId="1466"/>
    <cellStyle name="Comma 15 3 2 3 2" xfId="1467"/>
    <cellStyle name="Comma 15 3 2 3 2 2" xfId="5332"/>
    <cellStyle name="Comma 15 3 2 3 3" xfId="4909"/>
    <cellStyle name="Comma 15 3 2 4" xfId="1468"/>
    <cellStyle name="Comma 15 3 2 4 2" xfId="5189"/>
    <cellStyle name="Comma 15 3 2 5" xfId="4390"/>
    <cellStyle name="Comma 15 3 2 6" xfId="4760"/>
    <cellStyle name="Comma 15 3 3" xfId="1469"/>
    <cellStyle name="Comma 15 3 3 2" xfId="1470"/>
    <cellStyle name="Comma 15 3 3 2 2" xfId="1471"/>
    <cellStyle name="Comma 15 3 3 2 2 2" xfId="5334"/>
    <cellStyle name="Comma 15 3 3 2 3" xfId="4911"/>
    <cellStyle name="Comma 15 3 3 3" xfId="1472"/>
    <cellStyle name="Comma 15 3 3 3 2" xfId="5251"/>
    <cellStyle name="Comma 15 3 3 4" xfId="4825"/>
    <cellStyle name="Comma 15 3 4" xfId="1473"/>
    <cellStyle name="Comma 15 3 4 2" xfId="1474"/>
    <cellStyle name="Comma 15 3 4 2 2" xfId="1475"/>
    <cellStyle name="Comma 15 3 4 2 2 2" xfId="5335"/>
    <cellStyle name="Comma 15 3 4 2 3" xfId="4912"/>
    <cellStyle name="Comma 15 3 4 3" xfId="1476"/>
    <cellStyle name="Comma 15 3 4 3 2" xfId="5214"/>
    <cellStyle name="Comma 15 3 4 4" xfId="4788"/>
    <cellStyle name="Comma 15 3 5" xfId="1477"/>
    <cellStyle name="Comma 15 3 5 2" xfId="1478"/>
    <cellStyle name="Comma 15 3 5 2 2" xfId="1479"/>
    <cellStyle name="Comma 15 3 5 2 2 2" xfId="5336"/>
    <cellStyle name="Comma 15 3 5 2 3" xfId="4913"/>
    <cellStyle name="Comma 15 3 5 3" xfId="1480"/>
    <cellStyle name="Comma 15 3 5 3 2" xfId="5287"/>
    <cellStyle name="Comma 15 3 5 4" xfId="4864"/>
    <cellStyle name="Comma 15 3 6" xfId="1481"/>
    <cellStyle name="Comma 15 3 6 2" xfId="1482"/>
    <cellStyle name="Comma 15 3 6 2 2" xfId="1483"/>
    <cellStyle name="Comma 15 3 6 2 2 2" xfId="5337"/>
    <cellStyle name="Comma 15 3 6 2 3" xfId="4914"/>
    <cellStyle name="Comma 15 3 6 3" xfId="1484"/>
    <cellStyle name="Comma 15 3 6 3 2" xfId="5174"/>
    <cellStyle name="Comma 15 3 6 4" xfId="4745"/>
    <cellStyle name="Comma 15 3 7" xfId="1485"/>
    <cellStyle name="Comma 15 3 7 2" xfId="1486"/>
    <cellStyle name="Comma 15 3 7 2 2" xfId="5331"/>
    <cellStyle name="Comma 15 3 7 3" xfId="4908"/>
    <cellStyle name="Comma 15 3 8" xfId="1487"/>
    <cellStyle name="Comma 15 3 8 2" xfId="5149"/>
    <cellStyle name="Comma 15 3 9" xfId="3790"/>
    <cellStyle name="Comma 15 4" xfId="1488"/>
    <cellStyle name="Comma 15 4 2" xfId="1489"/>
    <cellStyle name="Comma 15 4 2 2" xfId="1490"/>
    <cellStyle name="Comma 15 4 2 2 2" xfId="1491"/>
    <cellStyle name="Comma 15 4 2 2 2 2" xfId="5339"/>
    <cellStyle name="Comma 15 4 2 2 3" xfId="4916"/>
    <cellStyle name="Comma 15 4 2 3" xfId="1492"/>
    <cellStyle name="Comma 15 4 2 3 2" xfId="5226"/>
    <cellStyle name="Comma 15 4 2 4" xfId="4800"/>
    <cellStyle name="Comma 15 4 3" xfId="1493"/>
    <cellStyle name="Comma 15 4 3 2" xfId="1494"/>
    <cellStyle name="Comma 15 4 3 2 2" xfId="5338"/>
    <cellStyle name="Comma 15 4 3 3" xfId="4915"/>
    <cellStyle name="Comma 15 4 4" xfId="1495"/>
    <cellStyle name="Comma 15 4 4 2" xfId="5186"/>
    <cellStyle name="Comma 15 4 5" xfId="4757"/>
    <cellStyle name="Comma 15 5" xfId="1496"/>
    <cellStyle name="Comma 15 5 2" xfId="1497"/>
    <cellStyle name="Comma 15 5 2 2" xfId="1498"/>
    <cellStyle name="Comma 15 5 2 2 2" xfId="5340"/>
    <cellStyle name="Comma 15 5 2 3" xfId="4917"/>
    <cellStyle name="Comma 15 5 3" xfId="1499"/>
    <cellStyle name="Comma 15 5 3 2" xfId="5248"/>
    <cellStyle name="Comma 15 5 4" xfId="4822"/>
    <cellStyle name="Comma 15 6" xfId="1500"/>
    <cellStyle name="Comma 15 6 2" xfId="1501"/>
    <cellStyle name="Comma 15 6 2 2" xfId="1502"/>
    <cellStyle name="Comma 15 6 2 2 2" xfId="5341"/>
    <cellStyle name="Comma 15 6 2 3" xfId="4918"/>
    <cellStyle name="Comma 15 6 3" xfId="1503"/>
    <cellStyle name="Comma 15 6 3 2" xfId="5211"/>
    <cellStyle name="Comma 15 6 4" xfId="4785"/>
    <cellStyle name="Comma 15 7" xfId="1504"/>
    <cellStyle name="Comma 15 7 2" xfId="1505"/>
    <cellStyle name="Comma 15 7 2 2" xfId="1506"/>
    <cellStyle name="Comma 15 7 2 2 2" xfId="5342"/>
    <cellStyle name="Comma 15 7 2 3" xfId="4919"/>
    <cellStyle name="Comma 15 7 3" xfId="1507"/>
    <cellStyle name="Comma 15 7 3 2" xfId="5284"/>
    <cellStyle name="Comma 15 7 4" xfId="4861"/>
    <cellStyle name="Comma 15 8" xfId="1508"/>
    <cellStyle name="Comma 15 8 2" xfId="1509"/>
    <cellStyle name="Comma 15 8 2 2" xfId="1510"/>
    <cellStyle name="Comma 15 8 2 2 2" xfId="5343"/>
    <cellStyle name="Comma 15 8 2 3" xfId="4920"/>
    <cellStyle name="Comma 15 8 3" xfId="1511"/>
    <cellStyle name="Comma 15 8 3 2" xfId="5171"/>
    <cellStyle name="Comma 15 8 4" xfId="4742"/>
    <cellStyle name="Comma 15 9" xfId="1512"/>
    <cellStyle name="Comma 15 9 2" xfId="1513"/>
    <cellStyle name="Comma 15 9 2 2" xfId="5316"/>
    <cellStyle name="Comma 15 9 3" xfId="4893"/>
    <cellStyle name="Comma 16" xfId="1514"/>
    <cellStyle name="Comma 16 2" xfId="1515"/>
    <cellStyle name="Comma 16 3" xfId="1516"/>
    <cellStyle name="Comma 16 3 2" xfId="4392"/>
    <cellStyle name="Comma 16 4" xfId="1517"/>
    <cellStyle name="Comma 17" xfId="1518"/>
    <cellStyle name="Comma 17 2" xfId="1519"/>
    <cellStyle name="Comma 18" xfId="1520"/>
    <cellStyle name="Comma 18 2" xfId="1521"/>
    <cellStyle name="Comma 18 2 2" xfId="1522"/>
    <cellStyle name="Comma 18 2 2 2" xfId="1523"/>
    <cellStyle name="Comma 18 2 2 2 2" xfId="5345"/>
    <cellStyle name="Comma 18 2 2 3" xfId="4922"/>
    <cellStyle name="Comma 18 2 3" xfId="1524"/>
    <cellStyle name="Comma 18 2 3 2" xfId="5277"/>
    <cellStyle name="Comma 18 2 4" xfId="4393"/>
    <cellStyle name="Comma 18 2 5" xfId="4854"/>
    <cellStyle name="Comma 18 3" xfId="1525"/>
    <cellStyle name="Comma 18 3 2" xfId="1526"/>
    <cellStyle name="Comma 18 3 2 2" xfId="1527"/>
    <cellStyle name="Comma 18 3 2 2 2" xfId="5346"/>
    <cellStyle name="Comma 18 3 2 3" xfId="4923"/>
    <cellStyle name="Comma 18 3 3" xfId="1528"/>
    <cellStyle name="Comma 18 3 3 2" xfId="5246"/>
    <cellStyle name="Comma 18 3 4" xfId="4820"/>
    <cellStyle name="Comma 18 4" xfId="1529"/>
    <cellStyle name="Comma 18 4 2" xfId="1530"/>
    <cellStyle name="Comma 18 4 2 2" xfId="5344"/>
    <cellStyle name="Comma 18 4 3" xfId="4921"/>
    <cellStyle name="Comma 18 5" xfId="1531"/>
    <cellStyle name="Comma 18 6" xfId="1532"/>
    <cellStyle name="Comma 18 6 2" xfId="5139"/>
    <cellStyle name="Comma 18 7" xfId="4688"/>
    <cellStyle name="Comma 19" xfId="1533"/>
    <cellStyle name="Comma 19 2" xfId="1534"/>
    <cellStyle name="Comma 19 3" xfId="1535"/>
    <cellStyle name="Comma 19 3 2" xfId="5485"/>
    <cellStyle name="Comma 2" xfId="2"/>
    <cellStyle name="Comma 2 2" xfId="3"/>
    <cellStyle name="Comma 2 2 2" xfId="215"/>
    <cellStyle name="Comma 2 2 2 2" xfId="431"/>
    <cellStyle name="Comma 2 2 2 2 2" xfId="495"/>
    <cellStyle name="Comma 2 2 2 2 2 2" xfId="749"/>
    <cellStyle name="Comma 2 2 2 2 2 3" xfId="5111"/>
    <cellStyle name="Comma 2 2 2 2 3" xfId="685"/>
    <cellStyle name="Comma 2 2 2 2 4" xfId="3629"/>
    <cellStyle name="Comma 2 2 2 2 5" xfId="4702"/>
    <cellStyle name="Comma 2 2 2 3" xfId="494"/>
    <cellStyle name="Comma 2 2 2 3 2" xfId="748"/>
    <cellStyle name="Comma 2 2 2 3 2 2" xfId="5127"/>
    <cellStyle name="Comma 2 2 2 3 3" xfId="3630"/>
    <cellStyle name="Comma 2 2 2 3 4" xfId="4826"/>
    <cellStyle name="Comma 2 2 2 4" xfId="623"/>
    <cellStyle name="Comma 2 2 2 4 2" xfId="5120"/>
    <cellStyle name="Comma 2 2 2 5" xfId="3628"/>
    <cellStyle name="Comma 2 2 2 6" xfId="4684"/>
    <cellStyle name="Comma 2 2 3" xfId="216"/>
    <cellStyle name="Comma 2 2 3 2" xfId="432"/>
    <cellStyle name="Comma 2 2 3 2 2" xfId="497"/>
    <cellStyle name="Comma 2 2 3 2 2 2" xfId="751"/>
    <cellStyle name="Comma 2 2 3 2 3" xfId="686"/>
    <cellStyle name="Comma 2 2 3 3" xfId="496"/>
    <cellStyle name="Comma 2 2 3 3 2" xfId="750"/>
    <cellStyle name="Comma 2 2 3 4" xfId="624"/>
    <cellStyle name="Comma 2 2 3 5" xfId="3631"/>
    <cellStyle name="Comma 2 2 3 6" xfId="4703"/>
    <cellStyle name="Comma 2 2 4" xfId="394"/>
    <cellStyle name="Comma 2 2 4 2" xfId="1536"/>
    <cellStyle name="Comma 2 2 5" xfId="3627"/>
    <cellStyle name="Comma 2 2_Augmentation" xfId="1537"/>
    <cellStyle name="Comma 2 3" xfId="71"/>
    <cellStyle name="Comma 2 3 2" xfId="1538"/>
    <cellStyle name="Comma 2 3 2 2" xfId="3632"/>
    <cellStyle name="Comma 2 3 3" xfId="1539"/>
    <cellStyle name="Comma 2 3 3 2" xfId="1540"/>
    <cellStyle name="Comma 2 3 3 2 2" xfId="1541"/>
    <cellStyle name="Comma 2 3 3 2 2 2" xfId="1542"/>
    <cellStyle name="Comma 2 3 3 2 2 2 2" xfId="5348"/>
    <cellStyle name="Comma 2 3 3 2 2 3" xfId="4925"/>
    <cellStyle name="Comma 2 3 3 2 3" xfId="1543"/>
    <cellStyle name="Comma 2 3 3 2 3 2" xfId="5230"/>
    <cellStyle name="Comma 2 3 3 2 4" xfId="4804"/>
    <cellStyle name="Comma 2 3 3 3" xfId="1544"/>
    <cellStyle name="Comma 2 3 3 3 2" xfId="1545"/>
    <cellStyle name="Comma 2 3 3 3 2 2" xfId="5347"/>
    <cellStyle name="Comma 2 3 3 3 3" xfId="4924"/>
    <cellStyle name="Comma 2 3 3 4" xfId="1546"/>
    <cellStyle name="Comma 2 3 3 4 2" xfId="5190"/>
    <cellStyle name="Comma 2 3 3 5" xfId="4761"/>
    <cellStyle name="Comma 2 3 4" xfId="1547"/>
    <cellStyle name="Comma 2 3 4 2" xfId="1548"/>
    <cellStyle name="Comma 2 3 4 2 2" xfId="1549"/>
    <cellStyle name="Comma 2 3 4 2 2 2" xfId="5349"/>
    <cellStyle name="Comma 2 3 4 2 3" xfId="4926"/>
    <cellStyle name="Comma 2 3 4 3" xfId="1550"/>
    <cellStyle name="Comma 2 3 4 3 2" xfId="5205"/>
    <cellStyle name="Comma 2 3 4 4" xfId="4779"/>
    <cellStyle name="Comma 2 3 5" xfId="1551"/>
    <cellStyle name="Comma 2 3 5 2" xfId="1552"/>
    <cellStyle name="Comma 2 3 5 2 2" xfId="1553"/>
    <cellStyle name="Comma 2 3 5 2 2 2" xfId="5350"/>
    <cellStyle name="Comma 2 3 5 2 3" xfId="4927"/>
    <cellStyle name="Comma 2 3 5 3" xfId="1554"/>
    <cellStyle name="Comma 2 3 5 3 2" xfId="5165"/>
    <cellStyle name="Comma 2 3 5 4" xfId="4734"/>
    <cellStyle name="Comma 2 3 6" xfId="1555"/>
    <cellStyle name="Comma 2 3 7" xfId="5511"/>
    <cellStyle name="Comma 2 3 8" xfId="5523"/>
    <cellStyle name="Comma 2 4" xfId="217"/>
    <cellStyle name="Comma 2 4 2" xfId="1556"/>
    <cellStyle name="Comma 2 4 2 2" xfId="3902"/>
    <cellStyle name="Comma 2 4 3" xfId="1557"/>
    <cellStyle name="Comma 2 4 3 2" xfId="3903"/>
    <cellStyle name="Comma 2 4 4" xfId="3901"/>
    <cellStyle name="Comma 2 5" xfId="678"/>
    <cellStyle name="Comma 2 5 2" xfId="1558"/>
    <cellStyle name="Comma 2 5 3" xfId="4704"/>
    <cellStyle name="Comma 2 6" xfId="1559"/>
    <cellStyle name="Comma 2 6 2" xfId="5533"/>
    <cellStyle name="Comma 2 7" xfId="3900"/>
    <cellStyle name="Comma 2_BP-14 Preliminary Capital Forecast NonBudget System_5 2 13" xfId="1560"/>
    <cellStyle name="Comma 20" xfId="3885"/>
    <cellStyle name="Comma 21" xfId="4587"/>
    <cellStyle name="Comma 22" xfId="4590"/>
    <cellStyle name="Comma 23" xfId="3740"/>
    <cellStyle name="Comma 24" xfId="3661"/>
    <cellStyle name="Comma 25" xfId="5553"/>
    <cellStyle name="Comma 3" xfId="4"/>
    <cellStyle name="Comma 3 10" xfId="1561"/>
    <cellStyle name="Comma 3 11" xfId="1562"/>
    <cellStyle name="Comma 3 12" xfId="1563"/>
    <cellStyle name="Comma 3 12 2" xfId="1564"/>
    <cellStyle name="Comma 3 12 2 2" xfId="4395"/>
    <cellStyle name="Comma 3 12 3" xfId="3904"/>
    <cellStyle name="Comma 3 13" xfId="3633"/>
    <cellStyle name="Comma 3 14" xfId="4516"/>
    <cellStyle name="Comma 3 2" xfId="218"/>
    <cellStyle name="Comma 3 2 10" xfId="1565"/>
    <cellStyle name="Comma 3 2 10 2" xfId="4517"/>
    <cellStyle name="Comma 3 2 2" xfId="219"/>
    <cellStyle name="Comma 3 2 2 2" xfId="220"/>
    <cellStyle name="Comma 3 2 2 2 2" xfId="435"/>
    <cellStyle name="Comma 3 2 2 2 2 2" xfId="501"/>
    <cellStyle name="Comma 3 2 2 2 2 2 2" xfId="755"/>
    <cellStyle name="Comma 3 2 2 2 2 2 3" xfId="3905"/>
    <cellStyle name="Comma 3 2 2 2 2 3" xfId="689"/>
    <cellStyle name="Comma 3 2 2 2 2 4" xfId="3635"/>
    <cellStyle name="Comma 3 2 2 2 3" xfId="500"/>
    <cellStyle name="Comma 3 2 2 2 3 2" xfId="754"/>
    <cellStyle name="Comma 3 2 2 2 3 3" xfId="3792"/>
    <cellStyle name="Comma 3 2 2 2 4" xfId="627"/>
    <cellStyle name="Comma 3 2 2 2 5" xfId="3634"/>
    <cellStyle name="Comma 3 2 2 3" xfId="434"/>
    <cellStyle name="Comma 3 2 2 3 2" xfId="502"/>
    <cellStyle name="Comma 3 2 2 3 2 2" xfId="756"/>
    <cellStyle name="Comma 3 2 2 3 2 3" xfId="3636"/>
    <cellStyle name="Comma 3 2 2 3 3" xfId="688"/>
    <cellStyle name="Comma 3 2 2 3 3 2" xfId="1566"/>
    <cellStyle name="Comma 3 2 2 3 3 3" xfId="1567"/>
    <cellStyle name="Comma 3 2 2 4" xfId="499"/>
    <cellStyle name="Comma 3 2 2 4 2" xfId="753"/>
    <cellStyle name="Comma 3 2 2 4 3" xfId="3637"/>
    <cellStyle name="Comma 3 2 2 5" xfId="626"/>
    <cellStyle name="Comma 3 2 2 5 2" xfId="1568"/>
    <cellStyle name="Comma 3 2 2 5 3" xfId="1569"/>
    <cellStyle name="Comma 3 2 2 6" xfId="1570"/>
    <cellStyle name="Comma 3 2 2 7" xfId="1571"/>
    <cellStyle name="Comma 3 2 2 7 2" xfId="3906"/>
    <cellStyle name="Comma 3 2 2 8" xfId="1572"/>
    <cellStyle name="Comma 3 2 2 8 2" xfId="3793"/>
    <cellStyle name="Comma 3 2 2 8 3" xfId="3638"/>
    <cellStyle name="Comma 3 2 3" xfId="221"/>
    <cellStyle name="Comma 3 2 3 2" xfId="436"/>
    <cellStyle name="Comma 3 2 3 2 2" xfId="504"/>
    <cellStyle name="Comma 3 2 3 2 2 2" xfId="758"/>
    <cellStyle name="Comma 3 2 3 2 2 3" xfId="3908"/>
    <cellStyle name="Comma 3 2 3 2 3" xfId="690"/>
    <cellStyle name="Comma 3 2 3 2 4" xfId="3640"/>
    <cellStyle name="Comma 3 2 3 3" xfId="503"/>
    <cellStyle name="Comma 3 2 3 3 2" xfId="757"/>
    <cellStyle name="Comma 3 2 3 3 3" xfId="3641"/>
    <cellStyle name="Comma 3 2 3 4" xfId="628"/>
    <cellStyle name="Comma 3 2 3 4 2" xfId="3642"/>
    <cellStyle name="Comma 3 2 3 5" xfId="3907"/>
    <cellStyle name="Comma 3 2 3 6" xfId="3639"/>
    <cellStyle name="Comma 3 2 4" xfId="433"/>
    <cellStyle name="Comma 3 2 4 2" xfId="505"/>
    <cellStyle name="Comma 3 2 4 2 2" xfId="759"/>
    <cellStyle name="Comma 3 2 4 2 3" xfId="3644"/>
    <cellStyle name="Comma 3 2 4 3" xfId="687"/>
    <cellStyle name="Comma 3 2 4 4" xfId="3643"/>
    <cellStyle name="Comma 3 2 5" xfId="498"/>
    <cellStyle name="Comma 3 2 5 2" xfId="752"/>
    <cellStyle name="Comma 3 2 5 2 2" xfId="3645"/>
    <cellStyle name="Comma 3 2 5 3" xfId="1573"/>
    <cellStyle name="Comma 3 2 5 3 2" xfId="1574"/>
    <cellStyle name="Comma 3 2 5 3 3" xfId="1575"/>
    <cellStyle name="Comma 3 2 6" xfId="625"/>
    <cellStyle name="Comma 3 2 6 2" xfId="3646"/>
    <cellStyle name="Comma 3 2 7" xfId="1576"/>
    <cellStyle name="Comma 3 2 8" xfId="1577"/>
    <cellStyle name="Comma 3 2 9" xfId="1578"/>
    <cellStyle name="Comma 3 3" xfId="222"/>
    <cellStyle name="Comma 3 3 2" xfId="223"/>
    <cellStyle name="Comma 3 3 2 2" xfId="438"/>
    <cellStyle name="Comma 3 3 2 2 2" xfId="508"/>
    <cellStyle name="Comma 3 3 2 2 2 2" xfId="762"/>
    <cellStyle name="Comma 3 3 2 2 3" xfId="692"/>
    <cellStyle name="Comma 3 3 2 2 4" xfId="3909"/>
    <cellStyle name="Comma 3 3 2 3" xfId="507"/>
    <cellStyle name="Comma 3 3 2 3 2" xfId="761"/>
    <cellStyle name="Comma 3 3 2 4" xfId="630"/>
    <cellStyle name="Comma 3 3 2 5" xfId="3648"/>
    <cellStyle name="Comma 3 3 3" xfId="437"/>
    <cellStyle name="Comma 3 3 3 2" xfId="509"/>
    <cellStyle name="Comma 3 3 3 2 2" xfId="763"/>
    <cellStyle name="Comma 3 3 3 3" xfId="691"/>
    <cellStyle name="Comma 3 3 3 4" xfId="3649"/>
    <cellStyle name="Comma 3 3 4" xfId="506"/>
    <cellStyle name="Comma 3 3 4 2" xfId="760"/>
    <cellStyle name="Comma 3 3 4 2 2" xfId="3910"/>
    <cellStyle name="Comma 3 3 4 3" xfId="3650"/>
    <cellStyle name="Comma 3 3 5" xfId="629"/>
    <cellStyle name="Comma 3 3 6" xfId="3647"/>
    <cellStyle name="Comma 3 4" xfId="224"/>
    <cellStyle name="Comma 3 4 2" xfId="225"/>
    <cellStyle name="Comma 3 4 2 2" xfId="439"/>
    <cellStyle name="Comma 3 4 2 2 2" xfId="511"/>
    <cellStyle name="Comma 3 4 2 2 2 2" xfId="765"/>
    <cellStyle name="Comma 3 4 2 2 3" xfId="693"/>
    <cellStyle name="Comma 3 4 2 2 4" xfId="3651"/>
    <cellStyle name="Comma 3 4 2 3" xfId="510"/>
    <cellStyle name="Comma 3 4 2 3 2" xfId="764"/>
    <cellStyle name="Comma 3 4 2 3 2 2" xfId="3794"/>
    <cellStyle name="Comma 3 4 2 3 3" xfId="1579"/>
    <cellStyle name="Comma 3 4 2 4" xfId="631"/>
    <cellStyle name="Comma 3 4 3" xfId="226"/>
    <cellStyle name="Comma 3 4 3 2" xfId="1580"/>
    <cellStyle name="Comma 3 4 3 3" xfId="1581"/>
    <cellStyle name="Comma 3 4 4" xfId="1582"/>
    <cellStyle name="Comma 3 4 5" xfId="1583"/>
    <cellStyle name="Comma 3 4 5 2" xfId="3795"/>
    <cellStyle name="Comma 3 4 5 3" xfId="3652"/>
    <cellStyle name="Comma 3 5" xfId="227"/>
    <cellStyle name="Comma 3 5 2" xfId="440"/>
    <cellStyle name="Comma 3 5 2 2" xfId="513"/>
    <cellStyle name="Comma 3 5 2 2 2" xfId="767"/>
    <cellStyle name="Comma 3 5 2 2 3" xfId="3653"/>
    <cellStyle name="Comma 3 5 2 3" xfId="694"/>
    <cellStyle name="Comma 3 5 2 3 2" xfId="1584"/>
    <cellStyle name="Comma 3 5 2 3 3" xfId="1585"/>
    <cellStyle name="Comma 3 5 3" xfId="512"/>
    <cellStyle name="Comma 3 5 3 2" xfId="766"/>
    <cellStyle name="Comma 3 5 3 2 2" xfId="3796"/>
    <cellStyle name="Comma 3 5 3 3" xfId="1586"/>
    <cellStyle name="Comma 3 5 4" xfId="632"/>
    <cellStyle name="Comma 3 5 4 2" xfId="3911"/>
    <cellStyle name="Comma 3 5 4 3" xfId="3654"/>
    <cellStyle name="Comma 3 5 5" xfId="1587"/>
    <cellStyle name="Comma 3 5 5 2" xfId="3797"/>
    <cellStyle name="Comma 3 5 5 3" xfId="3655"/>
    <cellStyle name="Comma 3 6" xfId="228"/>
    <cellStyle name="Comma 3 6 2" xfId="441"/>
    <cellStyle name="Comma 3 6 2 2" xfId="515"/>
    <cellStyle name="Comma 3 6 2 2 2" xfId="769"/>
    <cellStyle name="Comma 3 6 2 2 3" xfId="3658"/>
    <cellStyle name="Comma 3 6 2 3" xfId="695"/>
    <cellStyle name="Comma 3 6 2 3 2" xfId="3659"/>
    <cellStyle name="Comma 3 6 2 4" xfId="3657"/>
    <cellStyle name="Comma 3 6 3" xfId="514"/>
    <cellStyle name="Comma 3 6 3 2" xfId="768"/>
    <cellStyle name="Comma 3 6 3 3" xfId="3660"/>
    <cellStyle name="Comma 3 6 4" xfId="633"/>
    <cellStyle name="Comma 3 6 5" xfId="3656"/>
    <cellStyle name="Comma 3 7" xfId="1588"/>
    <cellStyle name="Comma 3 8" xfId="1589"/>
    <cellStyle name="Comma 3 8 2" xfId="1590"/>
    <cellStyle name="Comma 3 9" xfId="1591"/>
    <cellStyle name="Comma 3 9 2" xfId="1592"/>
    <cellStyle name="Comma 3 9 3" xfId="1593"/>
    <cellStyle name="Comma 3 9 3 2" xfId="1594"/>
    <cellStyle name="Comma 3 9 3 3" xfId="1595"/>
    <cellStyle name="Comma 4" xfId="5"/>
    <cellStyle name="Comma 4 2" xfId="229"/>
    <cellStyle name="Comma 4 2 2" xfId="442"/>
    <cellStyle name="Comma 4 2 2 2" xfId="517"/>
    <cellStyle name="Comma 4 2 2 2 2" xfId="771"/>
    <cellStyle name="Comma 4 2 2 2 2 2" xfId="3913"/>
    <cellStyle name="Comma 4 2 2 2 3" xfId="3663"/>
    <cellStyle name="Comma 4 2 2 3" xfId="696"/>
    <cellStyle name="Comma 4 2 2 3 2" xfId="3800"/>
    <cellStyle name="Comma 4 2 2 4" xfId="3662"/>
    <cellStyle name="Comma 4 2 3" xfId="516"/>
    <cellStyle name="Comma 4 2 3 2" xfId="770"/>
    <cellStyle name="Comma 4 2 3 2 2" xfId="3914"/>
    <cellStyle name="Comma 4 2 3 3" xfId="3664"/>
    <cellStyle name="Comma 4 2 4" xfId="634"/>
    <cellStyle name="Comma 4 2 4 2" xfId="1596"/>
    <cellStyle name="Comma 4 2 4 3" xfId="1597"/>
    <cellStyle name="Comma 4 2 4 3 2" xfId="1598"/>
    <cellStyle name="Comma 4 2 4 3 3" xfId="1599"/>
    <cellStyle name="Comma 4 2 5" xfId="1600"/>
    <cellStyle name="Comma 4 2 5 2" xfId="1601"/>
    <cellStyle name="Comma 4 2 5 3" xfId="1602"/>
    <cellStyle name="Comma 4 2 6" xfId="1603"/>
    <cellStyle name="Comma 4 2 7" xfId="1604"/>
    <cellStyle name="Comma 4 2 7 2" xfId="3915"/>
    <cellStyle name="Comma 4 2 8" xfId="1605"/>
    <cellStyle name="Comma 4 2 8 2" xfId="3801"/>
    <cellStyle name="Comma 4 2 8 3" xfId="3665"/>
    <cellStyle name="Comma 4 3" xfId="230"/>
    <cellStyle name="Comma 4 3 2" xfId="3912"/>
    <cellStyle name="Comma 4 4" xfId="231"/>
    <cellStyle name="Comma 4 4 2" xfId="443"/>
    <cellStyle name="Comma 4 4 2 2" xfId="519"/>
    <cellStyle name="Comma 4 4 2 2 2" xfId="773"/>
    <cellStyle name="Comma 4 4 2 3" xfId="697"/>
    <cellStyle name="Comma 4 4 3" xfId="518"/>
    <cellStyle name="Comma 4 4 3 2" xfId="772"/>
    <cellStyle name="Comma 4 4 4" xfId="635"/>
    <cellStyle name="Comma 4 5" xfId="232"/>
    <cellStyle name="Comma 4 5 2" xfId="444"/>
    <cellStyle name="Comma 4 5 2 2" xfId="521"/>
    <cellStyle name="Comma 4 5 2 2 2" xfId="775"/>
    <cellStyle name="Comma 4 5 2 3" xfId="698"/>
    <cellStyle name="Comma 4 5 3" xfId="520"/>
    <cellStyle name="Comma 4 5 3 2" xfId="774"/>
    <cellStyle name="Comma 4 5 4" xfId="636"/>
    <cellStyle name="Comma 4 6" xfId="395"/>
    <cellStyle name="Comma 5" xfId="6"/>
    <cellStyle name="Comma 5 2" xfId="233"/>
    <cellStyle name="Comma 5 2 2" xfId="1606"/>
    <cellStyle name="Comma 5 3" xfId="1607"/>
    <cellStyle name="Comma 5 3 2" xfId="1608"/>
    <cellStyle name="Comma 5 4" xfId="1609"/>
    <cellStyle name="Comma 5 5" xfId="3916"/>
    <cellStyle name="Comma 6" xfId="234"/>
    <cellStyle name="Comma 6 10" xfId="3666"/>
    <cellStyle name="Comma 6 11" xfId="3917"/>
    <cellStyle name="Comma 6 2" xfId="1610"/>
    <cellStyle name="Comma 6 2 2" xfId="1611"/>
    <cellStyle name="Comma 6 2 2 2" xfId="1612"/>
    <cellStyle name="Comma 6 2 3" xfId="1613"/>
    <cellStyle name="Comma 6 2 3 2" xfId="3919"/>
    <cellStyle name="Comma 6 2 4" xfId="1614"/>
    <cellStyle name="Comma 6 2 5" xfId="3918"/>
    <cellStyle name="Comma 6 3" xfId="1615"/>
    <cellStyle name="Comma 6 3 2" xfId="1616"/>
    <cellStyle name="Comma 6 3 3" xfId="1617"/>
    <cellStyle name="Comma 6 3 3 2" xfId="3920"/>
    <cellStyle name="Comma 6 3 3 3" xfId="3667"/>
    <cellStyle name="Comma 6 4" xfId="1618"/>
    <cellStyle name="Comma 6 4 2" xfId="1619"/>
    <cellStyle name="Comma 6 5" xfId="1620"/>
    <cellStyle name="Comma 6 6" xfId="1621"/>
    <cellStyle name="Comma 6 6 2" xfId="1622"/>
    <cellStyle name="Comma 6 6 3" xfId="1623"/>
    <cellStyle name="Comma 6 6 3 2" xfId="1624"/>
    <cellStyle name="Comma 6 6 3 3" xfId="1625"/>
    <cellStyle name="Comma 6 7" xfId="1626"/>
    <cellStyle name="Comma 6 7 2" xfId="1627"/>
    <cellStyle name="Comma 6 7 3" xfId="1628"/>
    <cellStyle name="Comma 6 8" xfId="1629"/>
    <cellStyle name="Comma 6 8 2" xfId="3921"/>
    <cellStyle name="Comma 6 9" xfId="3668"/>
    <cellStyle name="Comma 7" xfId="235"/>
    <cellStyle name="Comma 7 2" xfId="1630"/>
    <cellStyle name="Comma 7 2 2" xfId="1631"/>
    <cellStyle name="Comma 7 3" xfId="1632"/>
    <cellStyle name="Comma 7 3 2" xfId="1633"/>
    <cellStyle name="Comma 7 4" xfId="1634"/>
    <cellStyle name="Comma 7 4 2" xfId="3922"/>
    <cellStyle name="Comma 7 5" xfId="1635"/>
    <cellStyle name="Comma 7 5 2" xfId="3923"/>
    <cellStyle name="Comma 7 6" xfId="5512"/>
    <cellStyle name="Comma 7 7" xfId="5524"/>
    <cellStyle name="Comma 8" xfId="236"/>
    <cellStyle name="Comma 8 2" xfId="445"/>
    <cellStyle name="Comma 8 2 2" xfId="523"/>
    <cellStyle name="Comma 8 2 2 2" xfId="777"/>
    <cellStyle name="Comma 8 2 2 3" xfId="5119"/>
    <cellStyle name="Comma 8 2 3" xfId="699"/>
    <cellStyle name="Comma 8 2 4" xfId="3670"/>
    <cellStyle name="Comma 8 2 5" xfId="4667"/>
    <cellStyle name="Comma 8 3" xfId="522"/>
    <cellStyle name="Comma 8 3 2" xfId="776"/>
    <cellStyle name="Comma 8 3 2 2" xfId="3924"/>
    <cellStyle name="Comma 8 3 3" xfId="3671"/>
    <cellStyle name="Comma 8 4" xfId="637"/>
    <cellStyle name="Comma 8 4 2" xfId="3925"/>
    <cellStyle name="Comma 8 4 3" xfId="3672"/>
    <cellStyle name="Comma 8 5" xfId="1636"/>
    <cellStyle name="Comma 8 5 2" xfId="3926"/>
    <cellStyle name="Comma 8 6" xfId="1637"/>
    <cellStyle name="Comma 8 6 2" xfId="3673"/>
    <cellStyle name="Comma 8 7" xfId="3669"/>
    <cellStyle name="Comma 8 8" xfId="4666"/>
    <cellStyle name="Comma 8 9" xfId="5513"/>
    <cellStyle name="Comma 9" xfId="237"/>
    <cellStyle name="Comma 9 2" xfId="1638"/>
    <cellStyle name="Comma 9 2 2" xfId="3928"/>
    <cellStyle name="Comma 9 3" xfId="1639"/>
    <cellStyle name="Comma 9 4" xfId="3927"/>
    <cellStyle name="Comma0" xfId="1640"/>
    <cellStyle name="Comma0 - Style1" xfId="1641"/>
    <cellStyle name="Comma0 - Style4" xfId="1642"/>
    <cellStyle name="Comma0 10" xfId="4530"/>
    <cellStyle name="Comma0 11" xfId="4579"/>
    <cellStyle name="Comma0 12" xfId="4580"/>
    <cellStyle name="Comma0 13" xfId="4581"/>
    <cellStyle name="Comma0 14" xfId="4582"/>
    <cellStyle name="Comma0 15" xfId="4584"/>
    <cellStyle name="Comma0 2" xfId="3929"/>
    <cellStyle name="Comma0 3" xfId="4518"/>
    <cellStyle name="Comma0 4" xfId="4523"/>
    <cellStyle name="Comma0 5" xfId="4526"/>
    <cellStyle name="Comma0 6" xfId="4527"/>
    <cellStyle name="Comma0 7" xfId="4528"/>
    <cellStyle name="Comma0 8" xfId="4529"/>
    <cellStyle name="Comma0 9" xfId="4531"/>
    <cellStyle name="Copied" xfId="1643"/>
    <cellStyle name="COST1" xfId="1644"/>
    <cellStyle name="Curren - Style1" xfId="1645"/>
    <cellStyle name="Curren - Style5" xfId="1646"/>
    <cellStyle name="Currency 0" xfId="1647"/>
    <cellStyle name="Currency 10" xfId="1648"/>
    <cellStyle name="Currency 10 2" xfId="1649"/>
    <cellStyle name="Currency 10 3" xfId="1650"/>
    <cellStyle name="Currency 10 3 2" xfId="1651"/>
    <cellStyle name="Currency 11" xfId="1652"/>
    <cellStyle name="Currency 12" xfId="1653"/>
    <cellStyle name="Currency 12 2" xfId="1654"/>
    <cellStyle name="Currency 13" xfId="1655"/>
    <cellStyle name="Currency 13 2" xfId="1656"/>
    <cellStyle name="Currency 13 2 2" xfId="5483"/>
    <cellStyle name="Currency 13 3" xfId="5061"/>
    <cellStyle name="Currency 14" xfId="1657"/>
    <cellStyle name="Currency 15" xfId="1658"/>
    <cellStyle name="Currency 15 2" xfId="5135"/>
    <cellStyle name="Currency 16" xfId="4639"/>
    <cellStyle name="Currency 17" xfId="5532"/>
    <cellStyle name="Currency 2" xfId="7"/>
    <cellStyle name="Currency 2 2" xfId="386"/>
    <cellStyle name="Currency 2 2 2" xfId="1659"/>
    <cellStyle name="Currency 2 2 3" xfId="1660"/>
    <cellStyle name="Currency 2 3" xfId="679"/>
    <cellStyle name="Currency 2 3 2" xfId="3931"/>
    <cellStyle name="Currency 2 3 3" xfId="3674"/>
    <cellStyle name="Currency 2 4" xfId="1661"/>
    <cellStyle name="Currency 2 4 2" xfId="1662"/>
    <cellStyle name="Currency 2 4 3" xfId="1663"/>
    <cellStyle name="Currency 2 5" xfId="1664"/>
    <cellStyle name="Currency 2 5 2" xfId="1665"/>
    <cellStyle name="Currency 2 5 3" xfId="3930"/>
    <cellStyle name="Currency 2 6" xfId="5534"/>
    <cellStyle name="Currency 2_Augmentation" xfId="1666"/>
    <cellStyle name="Currency 3" xfId="238"/>
    <cellStyle name="Currency 3 2" xfId="239"/>
    <cellStyle name="Currency 3 2 2" xfId="3676"/>
    <cellStyle name="Currency 3 2 3" xfId="4705"/>
    <cellStyle name="Currency 3 3" xfId="240"/>
    <cellStyle name="Currency 3 3 2" xfId="5123"/>
    <cellStyle name="Currency 3 4" xfId="617"/>
    <cellStyle name="Currency 3 5" xfId="3675"/>
    <cellStyle name="Currency 4" xfId="241"/>
    <cellStyle name="Currency 4 2" xfId="242"/>
    <cellStyle name="Currency 4 2 2" xfId="1667"/>
    <cellStyle name="Currency 4 2 3" xfId="5078"/>
    <cellStyle name="Currency 4 3" xfId="1668"/>
    <cellStyle name="Currency 4 4" xfId="1669"/>
    <cellStyle name="Currency 4 5" xfId="4679"/>
    <cellStyle name="Currency 4 6" xfId="5514"/>
    <cellStyle name="Currency 4 7" xfId="5525"/>
    <cellStyle name="Currency 5" xfId="243"/>
    <cellStyle name="Currency 5 2" xfId="1670"/>
    <cellStyle name="Currency 5 3" xfId="1671"/>
    <cellStyle name="Currency 5 4" xfId="5515"/>
    <cellStyle name="Currency 6" xfId="244"/>
    <cellStyle name="Currency 6 2" xfId="446"/>
    <cellStyle name="Currency 6 2 2" xfId="525"/>
    <cellStyle name="Currency 6 2 2 2" xfId="779"/>
    <cellStyle name="Currency 6 2 3" xfId="700"/>
    <cellStyle name="Currency 6 2 4" xfId="4706"/>
    <cellStyle name="Currency 6 3" xfId="524"/>
    <cellStyle name="Currency 6 3 2" xfId="778"/>
    <cellStyle name="Currency 6 3 3" xfId="4691"/>
    <cellStyle name="Currency 6 4" xfId="638"/>
    <cellStyle name="Currency 6 4 2" xfId="5076"/>
    <cellStyle name="Currency 6 5" xfId="3677"/>
    <cellStyle name="Currency 6 6" xfId="4681"/>
    <cellStyle name="Currency 7" xfId="245"/>
    <cellStyle name="Currency 7 2" xfId="1672"/>
    <cellStyle name="Currency 7 2 2" xfId="1673"/>
    <cellStyle name="Currency 7 2 2 2" xfId="4397"/>
    <cellStyle name="Currency 7 2 3" xfId="3802"/>
    <cellStyle name="Currency 7 3" xfId="1674"/>
    <cellStyle name="Currency 7 3 2" xfId="1675"/>
    <cellStyle name="Currency 7 3 2 2" xfId="1676"/>
    <cellStyle name="Currency 7 3 2 2 2" xfId="1677"/>
    <cellStyle name="Currency 7 3 2 2 2 2" xfId="1678"/>
    <cellStyle name="Currency 7 3 2 2 2 2 2" xfId="5353"/>
    <cellStyle name="Currency 7 3 2 2 2 3" xfId="4930"/>
    <cellStyle name="Currency 7 3 2 2 3" xfId="1679"/>
    <cellStyle name="Currency 7 3 2 2 3 2" xfId="5231"/>
    <cellStyle name="Currency 7 3 2 2 4" xfId="4805"/>
    <cellStyle name="Currency 7 3 2 3" xfId="1680"/>
    <cellStyle name="Currency 7 3 2 3 2" xfId="1681"/>
    <cellStyle name="Currency 7 3 2 3 2 2" xfId="5352"/>
    <cellStyle name="Currency 7 3 2 3 3" xfId="4929"/>
    <cellStyle name="Currency 7 3 2 4" xfId="1682"/>
    <cellStyle name="Currency 7 3 2 4 2" xfId="5191"/>
    <cellStyle name="Currency 7 3 2 5" xfId="4762"/>
    <cellStyle name="Currency 7 3 3" xfId="1683"/>
    <cellStyle name="Currency 7 3 3 2" xfId="1684"/>
    <cellStyle name="Currency 7 3 3 2 2" xfId="1685"/>
    <cellStyle name="Currency 7 3 3 2 2 2" xfId="5354"/>
    <cellStyle name="Currency 7 3 3 2 3" xfId="4931"/>
    <cellStyle name="Currency 7 3 3 3" xfId="1686"/>
    <cellStyle name="Currency 7 3 3 3 2" xfId="5252"/>
    <cellStyle name="Currency 7 3 3 4" xfId="4827"/>
    <cellStyle name="Currency 7 3 4" xfId="1687"/>
    <cellStyle name="Currency 7 3 4 2" xfId="1688"/>
    <cellStyle name="Currency 7 3 4 2 2" xfId="1689"/>
    <cellStyle name="Currency 7 3 4 2 2 2" xfId="5355"/>
    <cellStyle name="Currency 7 3 4 2 3" xfId="4932"/>
    <cellStyle name="Currency 7 3 4 3" xfId="1690"/>
    <cellStyle name="Currency 7 3 4 3 2" xfId="5215"/>
    <cellStyle name="Currency 7 3 4 4" xfId="4789"/>
    <cellStyle name="Currency 7 3 5" xfId="1691"/>
    <cellStyle name="Currency 7 3 5 2" xfId="1692"/>
    <cellStyle name="Currency 7 3 5 2 2" xfId="1693"/>
    <cellStyle name="Currency 7 3 5 2 2 2" xfId="5356"/>
    <cellStyle name="Currency 7 3 5 2 3" xfId="4933"/>
    <cellStyle name="Currency 7 3 5 3" xfId="1694"/>
    <cellStyle name="Currency 7 3 5 3 2" xfId="5288"/>
    <cellStyle name="Currency 7 3 5 4" xfId="4865"/>
    <cellStyle name="Currency 7 3 6" xfId="1695"/>
    <cellStyle name="Currency 7 3 6 2" xfId="1696"/>
    <cellStyle name="Currency 7 3 6 2 2" xfId="1697"/>
    <cellStyle name="Currency 7 3 6 2 2 2" xfId="5357"/>
    <cellStyle name="Currency 7 3 6 2 3" xfId="4934"/>
    <cellStyle name="Currency 7 3 6 3" xfId="1698"/>
    <cellStyle name="Currency 7 3 6 3 2" xfId="5175"/>
    <cellStyle name="Currency 7 3 6 4" xfId="4746"/>
    <cellStyle name="Currency 7 3 7" xfId="1699"/>
    <cellStyle name="Currency 7 3 7 2" xfId="1700"/>
    <cellStyle name="Currency 7 3 7 2 2" xfId="5351"/>
    <cellStyle name="Currency 7 3 7 3" xfId="4928"/>
    <cellStyle name="Currency 7 3 8" xfId="1701"/>
    <cellStyle name="Currency 7 3 8 2" xfId="5150"/>
    <cellStyle name="Currency 7 3 9" xfId="4707"/>
    <cellStyle name="Currency 7 4" xfId="1702"/>
    <cellStyle name="Currency 7 5" xfId="1703"/>
    <cellStyle name="Currency 8" xfId="490"/>
    <cellStyle name="Currency 8 2" xfId="744"/>
    <cellStyle name="Currency 8 2 2" xfId="4398"/>
    <cellStyle name="Currency 8 3" xfId="1704"/>
    <cellStyle name="Currency 8 4" xfId="3803"/>
    <cellStyle name="Currency 9" xfId="866"/>
    <cellStyle name="Currency 9 10" xfId="4708"/>
    <cellStyle name="Currency 9 2" xfId="1705"/>
    <cellStyle name="Currency 9 2 10" xfId="4399"/>
    <cellStyle name="Currency 9 2 11" xfId="4709"/>
    <cellStyle name="Currency 9 2 2" xfId="1706"/>
    <cellStyle name="Currency 9 2 2 2" xfId="1707"/>
    <cellStyle name="Currency 9 2 2 2 2" xfId="1708"/>
    <cellStyle name="Currency 9 2 2 2 2 2" xfId="1709"/>
    <cellStyle name="Currency 9 2 2 2 2 2 2" xfId="1710"/>
    <cellStyle name="Currency 9 2 2 2 2 2 2 2" xfId="5362"/>
    <cellStyle name="Currency 9 2 2 2 2 2 3" xfId="4939"/>
    <cellStyle name="Currency 9 2 2 2 2 3" xfId="1711"/>
    <cellStyle name="Currency 9 2 2 2 2 3 2" xfId="5233"/>
    <cellStyle name="Currency 9 2 2 2 2 4" xfId="4807"/>
    <cellStyle name="Currency 9 2 2 2 3" xfId="1712"/>
    <cellStyle name="Currency 9 2 2 2 3 2" xfId="1713"/>
    <cellStyle name="Currency 9 2 2 2 3 2 2" xfId="5361"/>
    <cellStyle name="Currency 9 2 2 2 3 3" xfId="4938"/>
    <cellStyle name="Currency 9 2 2 2 4" xfId="1714"/>
    <cellStyle name="Currency 9 2 2 2 4 2" xfId="5193"/>
    <cellStyle name="Currency 9 2 2 2 5" xfId="4764"/>
    <cellStyle name="Currency 9 2 2 3" xfId="1715"/>
    <cellStyle name="Currency 9 2 2 3 2" xfId="1716"/>
    <cellStyle name="Currency 9 2 2 3 2 2" xfId="1717"/>
    <cellStyle name="Currency 9 2 2 3 2 2 2" xfId="5363"/>
    <cellStyle name="Currency 9 2 2 3 2 3" xfId="4940"/>
    <cellStyle name="Currency 9 2 2 3 3" xfId="1718"/>
    <cellStyle name="Currency 9 2 2 3 3 2" xfId="5255"/>
    <cellStyle name="Currency 9 2 2 3 4" xfId="4830"/>
    <cellStyle name="Currency 9 2 2 4" xfId="1719"/>
    <cellStyle name="Currency 9 2 2 4 2" xfId="1720"/>
    <cellStyle name="Currency 9 2 2 4 2 2" xfId="1721"/>
    <cellStyle name="Currency 9 2 2 4 2 2 2" xfId="5364"/>
    <cellStyle name="Currency 9 2 2 4 2 3" xfId="4941"/>
    <cellStyle name="Currency 9 2 2 4 3" xfId="1722"/>
    <cellStyle name="Currency 9 2 2 4 3 2" xfId="5217"/>
    <cellStyle name="Currency 9 2 2 4 4" xfId="4791"/>
    <cellStyle name="Currency 9 2 2 5" xfId="1723"/>
    <cellStyle name="Currency 9 2 2 5 2" xfId="1724"/>
    <cellStyle name="Currency 9 2 2 5 2 2" xfId="1725"/>
    <cellStyle name="Currency 9 2 2 5 2 2 2" xfId="5365"/>
    <cellStyle name="Currency 9 2 2 5 2 3" xfId="4942"/>
    <cellStyle name="Currency 9 2 2 5 3" xfId="1726"/>
    <cellStyle name="Currency 9 2 2 5 3 2" xfId="5291"/>
    <cellStyle name="Currency 9 2 2 5 4" xfId="4868"/>
    <cellStyle name="Currency 9 2 2 6" xfId="1727"/>
    <cellStyle name="Currency 9 2 2 6 2" xfId="1728"/>
    <cellStyle name="Currency 9 2 2 6 2 2" xfId="1729"/>
    <cellStyle name="Currency 9 2 2 6 2 2 2" xfId="5366"/>
    <cellStyle name="Currency 9 2 2 6 2 3" xfId="4943"/>
    <cellStyle name="Currency 9 2 2 6 3" xfId="1730"/>
    <cellStyle name="Currency 9 2 2 6 3 2" xfId="5177"/>
    <cellStyle name="Currency 9 2 2 6 4" xfId="4748"/>
    <cellStyle name="Currency 9 2 2 7" xfId="1731"/>
    <cellStyle name="Currency 9 2 2 7 2" xfId="1732"/>
    <cellStyle name="Currency 9 2 2 7 2 2" xfId="5360"/>
    <cellStyle name="Currency 9 2 2 7 3" xfId="4937"/>
    <cellStyle name="Currency 9 2 2 8" xfId="1733"/>
    <cellStyle name="Currency 9 2 2 8 2" xfId="5153"/>
    <cellStyle name="Currency 9 2 2 9" xfId="4710"/>
    <cellStyle name="Currency 9 2 3" xfId="1734"/>
    <cellStyle name="Currency 9 2 3 2" xfId="1735"/>
    <cellStyle name="Currency 9 2 3 2 2" xfId="1736"/>
    <cellStyle name="Currency 9 2 3 2 2 2" xfId="1737"/>
    <cellStyle name="Currency 9 2 3 2 2 2 2" xfId="5368"/>
    <cellStyle name="Currency 9 2 3 2 2 3" xfId="4945"/>
    <cellStyle name="Currency 9 2 3 2 3" xfId="1738"/>
    <cellStyle name="Currency 9 2 3 2 3 2" xfId="5232"/>
    <cellStyle name="Currency 9 2 3 2 4" xfId="4806"/>
    <cellStyle name="Currency 9 2 3 3" xfId="1739"/>
    <cellStyle name="Currency 9 2 3 3 2" xfId="1740"/>
    <cellStyle name="Currency 9 2 3 3 2 2" xfId="5367"/>
    <cellStyle name="Currency 9 2 3 3 3" xfId="4944"/>
    <cellStyle name="Currency 9 2 3 4" xfId="1741"/>
    <cellStyle name="Currency 9 2 3 4 2" xfId="5192"/>
    <cellStyle name="Currency 9 2 3 5" xfId="4763"/>
    <cellStyle name="Currency 9 2 4" xfId="1742"/>
    <cellStyle name="Currency 9 2 4 2" xfId="1743"/>
    <cellStyle name="Currency 9 2 4 2 2" xfId="1744"/>
    <cellStyle name="Currency 9 2 4 2 2 2" xfId="5369"/>
    <cellStyle name="Currency 9 2 4 2 3" xfId="4946"/>
    <cellStyle name="Currency 9 2 4 3" xfId="1745"/>
    <cellStyle name="Currency 9 2 4 3 2" xfId="5254"/>
    <cellStyle name="Currency 9 2 4 4" xfId="4829"/>
    <cellStyle name="Currency 9 2 5" xfId="1746"/>
    <cellStyle name="Currency 9 2 5 2" xfId="1747"/>
    <cellStyle name="Currency 9 2 5 2 2" xfId="1748"/>
    <cellStyle name="Currency 9 2 5 2 2 2" xfId="5370"/>
    <cellStyle name="Currency 9 2 5 2 3" xfId="4947"/>
    <cellStyle name="Currency 9 2 5 3" xfId="1749"/>
    <cellStyle name="Currency 9 2 5 3 2" xfId="5216"/>
    <cellStyle name="Currency 9 2 5 4" xfId="4790"/>
    <cellStyle name="Currency 9 2 6" xfId="1750"/>
    <cellStyle name="Currency 9 2 6 2" xfId="1751"/>
    <cellStyle name="Currency 9 2 6 2 2" xfId="1752"/>
    <cellStyle name="Currency 9 2 6 2 2 2" xfId="5371"/>
    <cellStyle name="Currency 9 2 6 2 3" xfId="4948"/>
    <cellStyle name="Currency 9 2 6 3" xfId="1753"/>
    <cellStyle name="Currency 9 2 6 3 2" xfId="5290"/>
    <cellStyle name="Currency 9 2 6 4" xfId="4867"/>
    <cellStyle name="Currency 9 2 7" xfId="1754"/>
    <cellStyle name="Currency 9 2 7 2" xfId="1755"/>
    <cellStyle name="Currency 9 2 7 2 2" xfId="1756"/>
    <cellStyle name="Currency 9 2 7 2 2 2" xfId="5372"/>
    <cellStyle name="Currency 9 2 7 2 3" xfId="4949"/>
    <cellStyle name="Currency 9 2 7 3" xfId="1757"/>
    <cellStyle name="Currency 9 2 7 3 2" xfId="5176"/>
    <cellStyle name="Currency 9 2 7 4" xfId="4747"/>
    <cellStyle name="Currency 9 2 8" xfId="1758"/>
    <cellStyle name="Currency 9 2 8 2" xfId="1759"/>
    <cellStyle name="Currency 9 2 8 2 2" xfId="5359"/>
    <cellStyle name="Currency 9 2 8 3" xfId="4936"/>
    <cellStyle name="Currency 9 2 9" xfId="1760"/>
    <cellStyle name="Currency 9 2 9 2" xfId="5152"/>
    <cellStyle name="Currency 9 3" xfId="1761"/>
    <cellStyle name="Currency 9 3 2" xfId="1762"/>
    <cellStyle name="Currency 9 3 2 2" xfId="1763"/>
    <cellStyle name="Currency 9 3 2 2 2" xfId="1764"/>
    <cellStyle name="Currency 9 3 2 2 2 2" xfId="1765"/>
    <cellStyle name="Currency 9 3 2 2 2 2 2" xfId="5375"/>
    <cellStyle name="Currency 9 3 2 2 2 3" xfId="4952"/>
    <cellStyle name="Currency 9 3 2 2 3" xfId="1766"/>
    <cellStyle name="Currency 9 3 2 2 3 2" xfId="5234"/>
    <cellStyle name="Currency 9 3 2 2 4" xfId="4808"/>
    <cellStyle name="Currency 9 3 2 3" xfId="1767"/>
    <cellStyle name="Currency 9 3 2 3 2" xfId="1768"/>
    <cellStyle name="Currency 9 3 2 3 2 2" xfId="5374"/>
    <cellStyle name="Currency 9 3 2 3 3" xfId="4951"/>
    <cellStyle name="Currency 9 3 2 4" xfId="1769"/>
    <cellStyle name="Currency 9 3 2 4 2" xfId="5194"/>
    <cellStyle name="Currency 9 3 2 5" xfId="4765"/>
    <cellStyle name="Currency 9 3 3" xfId="1770"/>
    <cellStyle name="Currency 9 3 3 2" xfId="1771"/>
    <cellStyle name="Currency 9 3 3 2 2" xfId="1772"/>
    <cellStyle name="Currency 9 3 3 2 2 2" xfId="5376"/>
    <cellStyle name="Currency 9 3 3 2 3" xfId="4953"/>
    <cellStyle name="Currency 9 3 3 3" xfId="1773"/>
    <cellStyle name="Currency 9 3 3 3 2" xfId="5256"/>
    <cellStyle name="Currency 9 3 3 4" xfId="4831"/>
    <cellStyle name="Currency 9 3 4" xfId="1774"/>
    <cellStyle name="Currency 9 3 4 2" xfId="1775"/>
    <cellStyle name="Currency 9 3 4 2 2" xfId="1776"/>
    <cellStyle name="Currency 9 3 4 2 2 2" xfId="5377"/>
    <cellStyle name="Currency 9 3 4 2 3" xfId="4954"/>
    <cellStyle name="Currency 9 3 4 3" xfId="1777"/>
    <cellStyle name="Currency 9 3 4 3 2" xfId="5218"/>
    <cellStyle name="Currency 9 3 4 4" xfId="4792"/>
    <cellStyle name="Currency 9 3 5" xfId="1778"/>
    <cellStyle name="Currency 9 3 5 2" xfId="1779"/>
    <cellStyle name="Currency 9 3 5 2 2" xfId="1780"/>
    <cellStyle name="Currency 9 3 5 2 2 2" xfId="5378"/>
    <cellStyle name="Currency 9 3 5 2 3" xfId="4955"/>
    <cellStyle name="Currency 9 3 5 3" xfId="1781"/>
    <cellStyle name="Currency 9 3 5 3 2" xfId="5292"/>
    <cellStyle name="Currency 9 3 5 4" xfId="4869"/>
    <cellStyle name="Currency 9 3 6" xfId="1782"/>
    <cellStyle name="Currency 9 3 6 2" xfId="1783"/>
    <cellStyle name="Currency 9 3 6 2 2" xfId="1784"/>
    <cellStyle name="Currency 9 3 6 2 2 2" xfId="5379"/>
    <cellStyle name="Currency 9 3 6 2 3" xfId="4956"/>
    <cellStyle name="Currency 9 3 6 3" xfId="1785"/>
    <cellStyle name="Currency 9 3 6 3 2" xfId="5178"/>
    <cellStyle name="Currency 9 3 6 4" xfId="4749"/>
    <cellStyle name="Currency 9 3 7" xfId="1786"/>
    <cellStyle name="Currency 9 3 7 2" xfId="1787"/>
    <cellStyle name="Currency 9 3 7 2 2" xfId="5373"/>
    <cellStyle name="Currency 9 3 7 3" xfId="4950"/>
    <cellStyle name="Currency 9 3 8" xfId="1788"/>
    <cellStyle name="Currency 9 3 8 2" xfId="5154"/>
    <cellStyle name="Currency 9 3 9" xfId="4711"/>
    <cellStyle name="Currency 9 4" xfId="1789"/>
    <cellStyle name="Currency 9 4 2" xfId="1790"/>
    <cellStyle name="Currency 9 4 2 2" xfId="1791"/>
    <cellStyle name="Currency 9 4 2 2 2" xfId="5380"/>
    <cellStyle name="Currency 9 4 2 3" xfId="4957"/>
    <cellStyle name="Currency 9 4 3" xfId="1792"/>
    <cellStyle name="Currency 9 4 3 2" xfId="5253"/>
    <cellStyle name="Currency 9 4 4" xfId="4828"/>
    <cellStyle name="Currency 9 5" xfId="1793"/>
    <cellStyle name="Currency 9 5 2" xfId="1794"/>
    <cellStyle name="Currency 9 5 2 2" xfId="1795"/>
    <cellStyle name="Currency 9 5 2 2 2" xfId="5381"/>
    <cellStyle name="Currency 9 5 2 3" xfId="4958"/>
    <cellStyle name="Currency 9 5 3" xfId="1796"/>
    <cellStyle name="Currency 9 5 3 2" xfId="5289"/>
    <cellStyle name="Currency 9 5 4" xfId="4866"/>
    <cellStyle name="Currency 9 6" xfId="1797"/>
    <cellStyle name="Currency 9 6 2" xfId="1798"/>
    <cellStyle name="Currency 9 7" xfId="1799"/>
    <cellStyle name="Currency 9 7 2" xfId="1800"/>
    <cellStyle name="Currency 9 7 2 2" xfId="5358"/>
    <cellStyle name="Currency 9 7 3" xfId="4935"/>
    <cellStyle name="Currency 9 8" xfId="1801"/>
    <cellStyle name="Currency 9 9" xfId="1802"/>
    <cellStyle name="Currency 9 9 2" xfId="5151"/>
    <cellStyle name="Currency0" xfId="1803"/>
    <cellStyle name="Currency0 2" xfId="3932"/>
    <cellStyle name="Date" xfId="1804"/>
    <cellStyle name="Date 2" xfId="1805"/>
    <cellStyle name="Date 2 2" xfId="1806"/>
    <cellStyle name="Date 3" xfId="1807"/>
    <cellStyle name="Date 3 2" xfId="1808"/>
    <cellStyle name="Date 3 3" xfId="1809"/>
    <cellStyle name="Date 4" xfId="1810"/>
    <cellStyle name="Date Aligned" xfId="1811"/>
    <cellStyle name="Date_Augmentation" xfId="1812"/>
    <cellStyle name="Dotted Line" xfId="1813"/>
    <cellStyle name="Entered" xfId="1814"/>
    <cellStyle name="Entered 2" xfId="3933"/>
    <cellStyle name="Euro" xfId="246"/>
    <cellStyle name="Euro 2" xfId="1815"/>
    <cellStyle name="Euro 2 2" xfId="1816"/>
    <cellStyle name="Explanatory Text" xfId="4613" builtinId="53" customBuiltin="1"/>
    <cellStyle name="Explanatory Text 2" xfId="247"/>
    <cellStyle name="Explanatory Text 2 2" xfId="248"/>
    <cellStyle name="Explanatory Text 2 2 2" xfId="1817"/>
    <cellStyle name="Explanatory Text 2 2 2 2" xfId="1818"/>
    <cellStyle name="Explanatory Text 2 2 3" xfId="1819"/>
    <cellStyle name="Explanatory Text 2 2 3 2" xfId="1820"/>
    <cellStyle name="Explanatory Text 2 2 4" xfId="1821"/>
    <cellStyle name="Explanatory Text 2 2 5" xfId="1822"/>
    <cellStyle name="Explanatory Text 2 3" xfId="249"/>
    <cellStyle name="Explanatory Text 2 3 2" xfId="3678"/>
    <cellStyle name="Explanatory Text 2 4" xfId="1823"/>
    <cellStyle name="Explanatory Text 2 5" xfId="1824"/>
    <cellStyle name="Explanatory Text 2 5 2" xfId="3679"/>
    <cellStyle name="Explanatory Text 2_QC Sheet" xfId="1825"/>
    <cellStyle name="Explanatory Text 3" xfId="250"/>
    <cellStyle name="Explanatory Text 3 2" xfId="1826"/>
    <cellStyle name="Explanatory Text 4" xfId="251"/>
    <cellStyle name="Explanatory Text 4 2" xfId="1827"/>
    <cellStyle name="Explanatory Text 4 3" xfId="4668"/>
    <cellStyle name="Explanatory Text 5" xfId="1828"/>
    <cellStyle name="Explanatory Text 6" xfId="1829"/>
    <cellStyle name="Explanatory Text 7" xfId="1830"/>
    <cellStyle name="Explanatory Text 7 2" xfId="1831"/>
    <cellStyle name="F2" xfId="1832"/>
    <cellStyle name="F2 2" xfId="1833"/>
    <cellStyle name="F2 2 2" xfId="1834"/>
    <cellStyle name="F3" xfId="1835"/>
    <cellStyle name="F3 2" xfId="1836"/>
    <cellStyle name="F3 3" xfId="1837"/>
    <cellStyle name="F3 3 2" xfId="1838"/>
    <cellStyle name="F4" xfId="1839"/>
    <cellStyle name="F4 2" xfId="1840"/>
    <cellStyle name="F4 2 2" xfId="1841"/>
    <cellStyle name="F5" xfId="1842"/>
    <cellStyle name="F5 2" xfId="1843"/>
    <cellStyle name="F5 2 2" xfId="1844"/>
    <cellStyle name="F5 3" xfId="1845"/>
    <cellStyle name="F5 3 2" xfId="1846"/>
    <cellStyle name="F5 3 2 2" xfId="1847"/>
    <cellStyle name="F5 3 3" xfId="1848"/>
    <cellStyle name="F5 4" xfId="1849"/>
    <cellStyle name="F6" xfId="1850"/>
    <cellStyle name="F6 2" xfId="1851"/>
    <cellStyle name="F6 2 2" xfId="1852"/>
    <cellStyle name="F7" xfId="1853"/>
    <cellStyle name="F7 2" xfId="1854"/>
    <cellStyle name="F7 3" xfId="1855"/>
    <cellStyle name="F7 3 2" xfId="1856"/>
    <cellStyle name="F8" xfId="1857"/>
    <cellStyle name="F8 2" xfId="1858"/>
    <cellStyle name="F8 2 2" xfId="1859"/>
    <cellStyle name="Fixed" xfId="1860"/>
    <cellStyle name="Fixed 2" xfId="1861"/>
    <cellStyle name="Fixed 2 2" xfId="1862"/>
    <cellStyle name="Fixed 3" xfId="1863"/>
    <cellStyle name="Fixed 3 2" xfId="1864"/>
    <cellStyle name="Fixed 4" xfId="1865"/>
    <cellStyle name="Fixed1 - Style1" xfId="1866"/>
    <cellStyle name="Fixed3 - Style3" xfId="1867"/>
    <cellStyle name="Footnote" xfId="1868"/>
    <cellStyle name="Good" xfId="391" builtinId="26" customBuiltin="1"/>
    <cellStyle name="Good 2" xfId="252"/>
    <cellStyle name="Good 2 2" xfId="253"/>
    <cellStyle name="Good 2 2 2" xfId="1869"/>
    <cellStyle name="Good 2 2 2 2" xfId="1870"/>
    <cellStyle name="Good 2 2 3" xfId="1871"/>
    <cellStyle name="Good 2 2 3 2" xfId="1872"/>
    <cellStyle name="Good 2 2 4" xfId="1873"/>
    <cellStyle name="Good 2 2 5" xfId="1874"/>
    <cellStyle name="Good 2 3" xfId="254"/>
    <cellStyle name="Good 2 3 2" xfId="3680"/>
    <cellStyle name="Good 2 4" xfId="255"/>
    <cellStyle name="Good 2 4 2" xfId="3681"/>
    <cellStyle name="Good 2 5" xfId="618"/>
    <cellStyle name="Good 2 5 2" xfId="3682"/>
    <cellStyle name="Good 2 5 3" xfId="5069"/>
    <cellStyle name="Good 2 6" xfId="614"/>
    <cellStyle name="Good 2_QC Sheet" xfId="1875"/>
    <cellStyle name="Good 3" xfId="256"/>
    <cellStyle name="Good 3 2" xfId="257"/>
    <cellStyle name="Good 3 2 2" xfId="5121"/>
    <cellStyle name="Good 3 3" xfId="619"/>
    <cellStyle name="Good 3 4" xfId="610"/>
    <cellStyle name="Good 3 5" xfId="3683"/>
    <cellStyle name="Good 3 6" xfId="5516"/>
    <cellStyle name="Good 4" xfId="258"/>
    <cellStyle name="Good 4 2" xfId="1876"/>
    <cellStyle name="Good 4 3" xfId="4669"/>
    <cellStyle name="Good 5" xfId="259"/>
    <cellStyle name="Good 5 2" xfId="4692"/>
    <cellStyle name="Good 6" xfId="1877"/>
    <cellStyle name="Good 7" xfId="1878"/>
    <cellStyle name="Good 7 2" xfId="1879"/>
    <cellStyle name="Good 8" xfId="1880"/>
    <cellStyle name="Grey" xfId="1881"/>
    <cellStyle name="Grey 2" xfId="1882"/>
    <cellStyle name="Hard Percent" xfId="1883"/>
    <cellStyle name="Header" xfId="1884"/>
    <cellStyle name="HEADER 2" xfId="1885"/>
    <cellStyle name="Header 2 2" xfId="1886"/>
    <cellStyle name="Header1" xfId="1887"/>
    <cellStyle name="Header2" xfId="1888"/>
    <cellStyle name="Heading 1" xfId="4603" builtinId="16" customBuiltin="1"/>
    <cellStyle name="Heading 1 2" xfId="260"/>
    <cellStyle name="Heading 1 2 2" xfId="261"/>
    <cellStyle name="Heading 1 2 2 2" xfId="1889"/>
    <cellStyle name="Heading 1 2 2 3" xfId="1890"/>
    <cellStyle name="Heading 1 2 3" xfId="262"/>
    <cellStyle name="Heading 1 2 3 2" xfId="3684"/>
    <cellStyle name="Heading 1 2 4" xfId="1891"/>
    <cellStyle name="Heading 1 2 5" xfId="1892"/>
    <cellStyle name="Heading 1 2 5 2" xfId="3685"/>
    <cellStyle name="Heading 1 2 6" xfId="1893"/>
    <cellStyle name="Heading 1 2_QC" xfId="1894"/>
    <cellStyle name="Heading 1 3" xfId="263"/>
    <cellStyle name="Heading 1 3 2" xfId="1895"/>
    <cellStyle name="Heading 1 4" xfId="264"/>
    <cellStyle name="Heading 1 4 2" xfId="1896"/>
    <cellStyle name="Heading 1 4 3" xfId="4670"/>
    <cellStyle name="Heading 1 5" xfId="1897"/>
    <cellStyle name="Heading 1 6" xfId="1898"/>
    <cellStyle name="Heading 1 7" xfId="1899"/>
    <cellStyle name="Heading 1 7 2" xfId="1900"/>
    <cellStyle name="Heading 2" xfId="4604" builtinId="17" customBuiltin="1"/>
    <cellStyle name="Heading 2 2" xfId="265"/>
    <cellStyle name="Heading 2 2 2" xfId="266"/>
    <cellStyle name="Heading 2 2 2 2" xfId="1901"/>
    <cellStyle name="Heading 2 2 2 3" xfId="1902"/>
    <cellStyle name="Heading 2 2 3" xfId="267"/>
    <cellStyle name="Heading 2 2 3 2" xfId="3686"/>
    <cellStyle name="Heading 2 2 4" xfId="1903"/>
    <cellStyle name="Heading 2 2 5" xfId="1904"/>
    <cellStyle name="Heading 2 2 5 2" xfId="3687"/>
    <cellStyle name="Heading 2 2 6" xfId="1905"/>
    <cellStyle name="Heading 2 2_QC" xfId="1906"/>
    <cellStyle name="Heading 2 3" xfId="268"/>
    <cellStyle name="Heading 2 3 2" xfId="1907"/>
    <cellStyle name="Heading 2 4" xfId="269"/>
    <cellStyle name="Heading 2 4 2" xfId="1908"/>
    <cellStyle name="Heading 2 4 3" xfId="4671"/>
    <cellStyle name="Heading 2 5" xfId="1909"/>
    <cellStyle name="Heading 2 6" xfId="1910"/>
    <cellStyle name="Heading 2 7" xfId="1911"/>
    <cellStyle name="Heading 2 7 2" xfId="1912"/>
    <cellStyle name="Heading 3" xfId="4605" builtinId="18" customBuiltin="1"/>
    <cellStyle name="Heading 3 2" xfId="270"/>
    <cellStyle name="Heading 3 2 2" xfId="271"/>
    <cellStyle name="Heading 3 2 2 2" xfId="1913"/>
    <cellStyle name="Heading 3 2 2 3" xfId="1914"/>
    <cellStyle name="Heading 3 2 3" xfId="272"/>
    <cellStyle name="Heading 3 2 3 2" xfId="3688"/>
    <cellStyle name="Heading 3 2 4" xfId="1915"/>
    <cellStyle name="Heading 3 2 5" xfId="1916"/>
    <cellStyle name="Heading 3 2 5 2" xfId="3689"/>
    <cellStyle name="Heading 3 2 6" xfId="1917"/>
    <cellStyle name="Heading 3 2_QC" xfId="1918"/>
    <cellStyle name="Heading 3 3" xfId="273"/>
    <cellStyle name="Heading 3 3 2" xfId="1919"/>
    <cellStyle name="Heading 3 4" xfId="274"/>
    <cellStyle name="Heading 3 4 2" xfId="1920"/>
    <cellStyle name="Heading 3 4 3" xfId="4672"/>
    <cellStyle name="Heading 3 5" xfId="1921"/>
    <cellStyle name="Heading 3 6" xfId="1922"/>
    <cellStyle name="Heading 3 7" xfId="1923"/>
    <cellStyle name="Heading 3 7 2" xfId="1924"/>
    <cellStyle name="Heading 4" xfId="4606" builtinId="19" customBuiltin="1"/>
    <cellStyle name="Heading 4 2" xfId="275"/>
    <cellStyle name="Heading 4 2 2" xfId="276"/>
    <cellStyle name="Heading 4 2 2 2" xfId="1925"/>
    <cellStyle name="Heading 4 2 2 3" xfId="1926"/>
    <cellStyle name="Heading 4 2 3" xfId="277"/>
    <cellStyle name="Heading 4 2 3 2" xfId="3690"/>
    <cellStyle name="Heading 4 2 4" xfId="1927"/>
    <cellStyle name="Heading 4 2 5" xfId="1928"/>
    <cellStyle name="Heading 4 2 5 2" xfId="3691"/>
    <cellStyle name="Heading 4 2 6" xfId="1929"/>
    <cellStyle name="Heading 4 3" xfId="278"/>
    <cellStyle name="Heading 4 3 2" xfId="1930"/>
    <cellStyle name="Heading 4 4" xfId="279"/>
    <cellStyle name="Heading 4 4 2" xfId="1931"/>
    <cellStyle name="Heading 4 4 3" xfId="4673"/>
    <cellStyle name="Heading 4 5" xfId="1932"/>
    <cellStyle name="Heading 4 6" xfId="1933"/>
    <cellStyle name="Heading 4 7" xfId="1934"/>
    <cellStyle name="Heading 4 7 2" xfId="1935"/>
    <cellStyle name="Heading1" xfId="1936"/>
    <cellStyle name="Heading1 2" xfId="1937"/>
    <cellStyle name="Heading1 2 2" xfId="1938"/>
    <cellStyle name="Heading1 3" xfId="1939"/>
    <cellStyle name="Heading1 3 2" xfId="1940"/>
    <cellStyle name="Heading1 4" xfId="1941"/>
    <cellStyle name="Heading2" xfId="1942"/>
    <cellStyle name="Heading2 2" xfId="1943"/>
    <cellStyle name="Heading2 2 2" xfId="1944"/>
    <cellStyle name="Heading2 3" xfId="1945"/>
    <cellStyle name="Heading2 3 2" xfId="1946"/>
    <cellStyle name="Heading2 4" xfId="1947"/>
    <cellStyle name="HIGHLIGHT" xfId="1948"/>
    <cellStyle name="HIGHLIGHT 2" xfId="1949"/>
    <cellStyle name="Hyperlink" xfId="8" builtinId="8"/>
    <cellStyle name="Hyperlink 2" xfId="280"/>
    <cellStyle name="Hyperlink 2 2" xfId="1950"/>
    <cellStyle name="Hyperlink 2 2 2" xfId="1951"/>
    <cellStyle name="Hyperlink 2 3" xfId="1952"/>
    <cellStyle name="Hyperlink 2_Augmentation" xfId="1953"/>
    <cellStyle name="Hyperlink 3" xfId="281"/>
    <cellStyle name="Hyperlink 3 2" xfId="1954"/>
    <cellStyle name="Hyperlink 3 2 2" xfId="1955"/>
    <cellStyle name="Hyperlink 3 2 3" xfId="1956"/>
    <cellStyle name="Hyperlink 3 2 4" xfId="1957"/>
    <cellStyle name="Hyperlink 3 3" xfId="1958"/>
    <cellStyle name="Hyperlink 3 3 2" xfId="1959"/>
    <cellStyle name="Hyperlink 3 4" xfId="1960"/>
    <cellStyle name="Hyperlink 4" xfId="1961"/>
    <cellStyle name="Hyperlink 4 2" xfId="1962"/>
    <cellStyle name="Hyperlink 4 2 2" xfId="1963"/>
    <cellStyle name="Hyperlink 4 3" xfId="1964"/>
    <cellStyle name="Hyperlink 4 3 2" xfId="1965"/>
    <cellStyle name="Hyperlink 5" xfId="1966"/>
    <cellStyle name="Hyperlink 5 2" xfId="1967"/>
    <cellStyle name="Hyperlink 5 3" xfId="1968"/>
    <cellStyle name="Hyperlink 5 4" xfId="1969"/>
    <cellStyle name="Hyperlink 6" xfId="1970"/>
    <cellStyle name="Input" xfId="4607" builtinId="20" customBuiltin="1"/>
    <cellStyle name="Input [yellow]" xfId="1971"/>
    <cellStyle name="Input [yellow] 2" xfId="1972"/>
    <cellStyle name="Input [yellow] 2 2" xfId="1973"/>
    <cellStyle name="Input [yellow] 2 3" xfId="3692"/>
    <cellStyle name="Input [yellow] 3" xfId="1974"/>
    <cellStyle name="Input [yellow] 4" xfId="1975"/>
    <cellStyle name="Input 10" xfId="1976"/>
    <cellStyle name="Input 11" xfId="1977"/>
    <cellStyle name="Input 12" xfId="1978"/>
    <cellStyle name="Input 13" xfId="1979"/>
    <cellStyle name="Input 14" xfId="1980"/>
    <cellStyle name="Input 15" xfId="1981"/>
    <cellStyle name="Input 16" xfId="1982"/>
    <cellStyle name="Input 17" xfId="1983"/>
    <cellStyle name="Input 18" xfId="1984"/>
    <cellStyle name="Input 19" xfId="1985"/>
    <cellStyle name="Input 2" xfId="282"/>
    <cellStyle name="Input 2 2" xfId="283"/>
    <cellStyle name="Input 2 2 2" xfId="1986"/>
    <cellStyle name="Input 2 2 2 2" xfId="1987"/>
    <cellStyle name="Input 2 2 3" xfId="1988"/>
    <cellStyle name="Input 2 2 3 2" xfId="1989"/>
    <cellStyle name="Input 2 2 4" xfId="1990"/>
    <cellStyle name="Input 2 2 5" xfId="1991"/>
    <cellStyle name="Input 2 3" xfId="284"/>
    <cellStyle name="Input 2 3 2" xfId="3693"/>
    <cellStyle name="Input 2 4" xfId="285"/>
    <cellStyle name="Input 2 4 2" xfId="3694"/>
    <cellStyle name="Input 2 5" xfId="1992"/>
    <cellStyle name="Input 2 5 2" xfId="3695"/>
    <cellStyle name="Input 2_QC" xfId="1993"/>
    <cellStyle name="Input 20" xfId="1994"/>
    <cellStyle name="Input 21" xfId="1995"/>
    <cellStyle name="Input 22" xfId="1996"/>
    <cellStyle name="Input 23" xfId="1997"/>
    <cellStyle name="Input 24" xfId="1998"/>
    <cellStyle name="Input 25" xfId="1999"/>
    <cellStyle name="Input 26" xfId="2000"/>
    <cellStyle name="Input 27" xfId="2001"/>
    <cellStyle name="Input 27 2" xfId="2002"/>
    <cellStyle name="Input 28" xfId="2003"/>
    <cellStyle name="Input 28 2" xfId="2004"/>
    <cellStyle name="Input 29" xfId="2005"/>
    <cellStyle name="Input 29 2" xfId="2006"/>
    <cellStyle name="Input 3" xfId="286"/>
    <cellStyle name="Input 3 2" xfId="2007"/>
    <cellStyle name="Input 30" xfId="2008"/>
    <cellStyle name="Input 31" xfId="2009"/>
    <cellStyle name="Input 32" xfId="2010"/>
    <cellStyle name="Input 33" xfId="2011"/>
    <cellStyle name="Input 34" xfId="2012"/>
    <cellStyle name="Input 35" xfId="5535"/>
    <cellStyle name="Input 36" xfId="5536"/>
    <cellStyle name="Input 37" xfId="5537"/>
    <cellStyle name="Input 4" xfId="287"/>
    <cellStyle name="Input 4 2" xfId="2013"/>
    <cellStyle name="Input 5" xfId="288"/>
    <cellStyle name="Input 5 2" xfId="2014"/>
    <cellStyle name="Input 5 3" xfId="2015"/>
    <cellStyle name="Input 6" xfId="2016"/>
    <cellStyle name="Input 6 2" xfId="2017"/>
    <cellStyle name="Input 7" xfId="2018"/>
    <cellStyle name="Input 7 2" xfId="2019"/>
    <cellStyle name="Input 8" xfId="2020"/>
    <cellStyle name="Input 8 2" xfId="2021"/>
    <cellStyle name="Input 9" xfId="2022"/>
    <cellStyle name="Input 9 2" xfId="2023"/>
    <cellStyle name="Input Cells" xfId="2024"/>
    <cellStyle name="Lines" xfId="2025"/>
    <cellStyle name="Lines 2" xfId="3696"/>
    <cellStyle name="Linked Cell" xfId="4610" builtinId="24" customBuiltin="1"/>
    <cellStyle name="Linked Cell 2" xfId="289"/>
    <cellStyle name="Linked Cell 2 2" xfId="290"/>
    <cellStyle name="Linked Cell 2 2 2" xfId="2026"/>
    <cellStyle name="Linked Cell 2 2 2 2" xfId="2027"/>
    <cellStyle name="Linked Cell 2 2 3" xfId="2028"/>
    <cellStyle name="Linked Cell 2 2 3 2" xfId="2029"/>
    <cellStyle name="Linked Cell 2 2 3 2 2" xfId="4521"/>
    <cellStyle name="Linked Cell 2 2 4" xfId="2030"/>
    <cellStyle name="Linked Cell 2 3" xfId="291"/>
    <cellStyle name="Linked Cell 2 3 2" xfId="4524"/>
    <cellStyle name="Linked Cell 2 4" xfId="2031"/>
    <cellStyle name="Linked Cell 2 4 2" xfId="4520"/>
    <cellStyle name="Linked Cell 2 4 3" xfId="3697"/>
    <cellStyle name="Linked Cell 2 5" xfId="4525"/>
    <cellStyle name="Linked Cell 2_QC" xfId="2032"/>
    <cellStyle name="Linked Cell 3" xfId="292"/>
    <cellStyle name="Linked Cell 3 2" xfId="2033"/>
    <cellStyle name="Linked Cell 4" xfId="293"/>
    <cellStyle name="Linked Cell 4 2" xfId="2034"/>
    <cellStyle name="Linked Cell 4 3" xfId="4674"/>
    <cellStyle name="Linked Cell 5" xfId="2035"/>
    <cellStyle name="Linked Cell 6" xfId="2036"/>
    <cellStyle name="Linked Cell 7" xfId="2037"/>
    <cellStyle name="Linked Cell 7 2" xfId="2038"/>
    <cellStyle name="modified border" xfId="2039"/>
    <cellStyle name="modified border1" xfId="2040"/>
    <cellStyle name="Multiple" xfId="2041"/>
    <cellStyle name="Neutral" xfId="389" builtinId="28" customBuiltin="1"/>
    <cellStyle name="Neutral 2" xfId="294"/>
    <cellStyle name="Neutral 2 2" xfId="295"/>
    <cellStyle name="Neutral 2 2 2" xfId="2042"/>
    <cellStyle name="Neutral 2 2 2 2" xfId="2043"/>
    <cellStyle name="Neutral 2 2 3" xfId="2044"/>
    <cellStyle name="Neutral 2 2 3 2" xfId="2045"/>
    <cellStyle name="Neutral 2 2 4" xfId="2046"/>
    <cellStyle name="Neutral 2 3" xfId="296"/>
    <cellStyle name="Neutral 2 4" xfId="2047"/>
    <cellStyle name="Neutral 2 4 2" xfId="3698"/>
    <cellStyle name="Neutral 2_QC Sheet" xfId="2048"/>
    <cellStyle name="Neutral 3" xfId="297"/>
    <cellStyle name="Neutral 3 2" xfId="2049"/>
    <cellStyle name="Neutral 4" xfId="298"/>
    <cellStyle name="Neutral 4 2" xfId="2050"/>
    <cellStyle name="Neutral 4 3" xfId="4675"/>
    <cellStyle name="Neutral 5" xfId="2051"/>
    <cellStyle name="Neutral 6" xfId="2052"/>
    <cellStyle name="Neutral 7" xfId="2053"/>
    <cellStyle name="Neutral 7 2" xfId="2054"/>
    <cellStyle name="no dec" xfId="2055"/>
    <cellStyle name="no dec 2" xfId="2056"/>
    <cellStyle name="no dec 2 2" xfId="2057"/>
    <cellStyle name="Normal" xfId="0" builtinId="0"/>
    <cellStyle name="Normal - Style1" xfId="2058"/>
    <cellStyle name="Normal - Style1 2" xfId="2059"/>
    <cellStyle name="Normal - Style1 3" xfId="2060"/>
    <cellStyle name="Normal 10" xfId="9"/>
    <cellStyle name="Normal 10 2" xfId="299"/>
    <cellStyle name="Normal 10 2 10" xfId="4712"/>
    <cellStyle name="Normal 10 2 2" xfId="2061"/>
    <cellStyle name="Normal 10 2 2 2" xfId="2062"/>
    <cellStyle name="Normal 10 2 2 2 2" xfId="2063"/>
    <cellStyle name="Normal 10 2 2 2 2 2" xfId="2064"/>
    <cellStyle name="Normal 10 2 2 2 2 2 2" xfId="5384"/>
    <cellStyle name="Normal 10 2 2 2 2 3" xfId="4961"/>
    <cellStyle name="Normal 10 2 2 2 3" xfId="2065"/>
    <cellStyle name="Normal 10 2 2 2 3 2" xfId="5235"/>
    <cellStyle name="Normal 10 2 2 2 4" xfId="4809"/>
    <cellStyle name="Normal 10 2 2 3" xfId="2066"/>
    <cellStyle name="Normal 10 2 2 3 2" xfId="2067"/>
    <cellStyle name="Normal 10 2 2 3 2 2" xfId="5383"/>
    <cellStyle name="Normal 10 2 2 3 3" xfId="4960"/>
    <cellStyle name="Normal 10 2 2 4" xfId="2068"/>
    <cellStyle name="Normal 10 2 2 4 2" xfId="5195"/>
    <cellStyle name="Normal 10 2 2 5" xfId="3935"/>
    <cellStyle name="Normal 10 2 2 6" xfId="4766"/>
    <cellStyle name="Normal 10 2 3" xfId="2069"/>
    <cellStyle name="Normal 10 2 3 2" xfId="2070"/>
    <cellStyle name="Normal 10 2 3 2 2" xfId="2071"/>
    <cellStyle name="Normal 10 2 3 2 2 2" xfId="5385"/>
    <cellStyle name="Normal 10 2 3 2 3" xfId="4962"/>
    <cellStyle name="Normal 10 2 3 3" xfId="2072"/>
    <cellStyle name="Normal 10 2 3 3 2" xfId="5257"/>
    <cellStyle name="Normal 10 2 3 4" xfId="4832"/>
    <cellStyle name="Normal 10 2 4" xfId="2073"/>
    <cellStyle name="Normal 10 2 4 2" xfId="2074"/>
    <cellStyle name="Normal 10 2 4 2 2" xfId="2075"/>
    <cellStyle name="Normal 10 2 4 2 2 2" xfId="5386"/>
    <cellStyle name="Normal 10 2 4 2 3" xfId="4963"/>
    <cellStyle name="Normal 10 2 4 3" xfId="2076"/>
    <cellStyle name="Normal 10 2 4 3 2" xfId="5219"/>
    <cellStyle name="Normal 10 2 4 4" xfId="4793"/>
    <cellStyle name="Normal 10 2 5" xfId="2077"/>
    <cellStyle name="Normal 10 2 5 2" xfId="2078"/>
    <cellStyle name="Normal 10 2 5 2 2" xfId="2079"/>
    <cellStyle name="Normal 10 2 5 2 2 2" xfId="5387"/>
    <cellStyle name="Normal 10 2 5 2 3" xfId="4964"/>
    <cellStyle name="Normal 10 2 5 3" xfId="2080"/>
    <cellStyle name="Normal 10 2 5 3 2" xfId="5293"/>
    <cellStyle name="Normal 10 2 5 4" xfId="4870"/>
    <cellStyle name="Normal 10 2 6" xfId="2081"/>
    <cellStyle name="Normal 10 2 6 2" xfId="2082"/>
    <cellStyle name="Normal 10 2 6 2 2" xfId="2083"/>
    <cellStyle name="Normal 10 2 6 2 2 2" xfId="5388"/>
    <cellStyle name="Normal 10 2 6 2 3" xfId="4965"/>
    <cellStyle name="Normal 10 2 6 3" xfId="2084"/>
    <cellStyle name="Normal 10 2 6 3 2" xfId="5179"/>
    <cellStyle name="Normal 10 2 6 4" xfId="4750"/>
    <cellStyle name="Normal 10 2 7" xfId="2085"/>
    <cellStyle name="Normal 10 2 7 2" xfId="2086"/>
    <cellStyle name="Normal 10 2 7 2 2" xfId="5382"/>
    <cellStyle name="Normal 10 2 7 3" xfId="4959"/>
    <cellStyle name="Normal 10 2 8" xfId="2087"/>
    <cellStyle name="Normal 10 2 9" xfId="2088"/>
    <cellStyle name="Normal 10 2 9 2" xfId="5155"/>
    <cellStyle name="Normal 10 3" xfId="2089"/>
    <cellStyle name="Normal 10 3 2" xfId="2090"/>
    <cellStyle name="Normal 10 3 2 2" xfId="5118"/>
    <cellStyle name="Normal 10 3 3" xfId="3699"/>
    <cellStyle name="Normal 10 4" xfId="2091"/>
    <cellStyle name="Normal 10 4 2" xfId="2092"/>
    <cellStyle name="Normal 10 4 3" xfId="3934"/>
    <cellStyle name="Normal 10 5" xfId="2093"/>
    <cellStyle name="Normal 10 5 2" xfId="2094"/>
    <cellStyle name="Normal 10 5 2 2" xfId="2095"/>
    <cellStyle name="Normal 10 5 2 2 2" xfId="5389"/>
    <cellStyle name="Normal 10 5 2 3" xfId="4966"/>
    <cellStyle name="Normal 10 5 3" xfId="2096"/>
    <cellStyle name="Normal 10 5 3 2" xfId="5303"/>
    <cellStyle name="Normal 10 5 4" xfId="4880"/>
    <cellStyle name="Normal 10 6" xfId="2097"/>
    <cellStyle name="Normal 100" xfId="2098"/>
    <cellStyle name="Normal 100 2" xfId="3936"/>
    <cellStyle name="Normal 101" xfId="2099"/>
    <cellStyle name="Normal 101 2" xfId="3937"/>
    <cellStyle name="Normal 102" xfId="2100"/>
    <cellStyle name="Normal 102 2" xfId="3938"/>
    <cellStyle name="Normal 103" xfId="2101"/>
    <cellStyle name="Normal 103 2" xfId="3939"/>
    <cellStyle name="Normal 104" xfId="2102"/>
    <cellStyle name="Normal 104 2" xfId="3940"/>
    <cellStyle name="Normal 105" xfId="2103"/>
    <cellStyle name="Normal 105 2" xfId="3941"/>
    <cellStyle name="Normal 106" xfId="2104"/>
    <cellStyle name="Normal 106 2" xfId="3942"/>
    <cellStyle name="Normal 107" xfId="2105"/>
    <cellStyle name="Normal 107 2" xfId="3943"/>
    <cellStyle name="Normal 108" xfId="2106"/>
    <cellStyle name="Normal 108 2" xfId="3944"/>
    <cellStyle name="Normal 109" xfId="2107"/>
    <cellStyle name="Normal 109 2" xfId="2108"/>
    <cellStyle name="Normal 109 2 2" xfId="3946"/>
    <cellStyle name="Normal 109 3" xfId="3945"/>
    <cellStyle name="Normal 11" xfId="300"/>
    <cellStyle name="Normal 11 2" xfId="447"/>
    <cellStyle name="Normal 11 2 10" xfId="4714"/>
    <cellStyle name="Normal 11 2 2" xfId="527"/>
    <cellStyle name="Normal 11 2 2 2" xfId="781"/>
    <cellStyle name="Normal 11 2 2 2 2" xfId="2109"/>
    <cellStyle name="Normal 11 2 2 2 2 2" xfId="2110"/>
    <cellStyle name="Normal 11 2 2 2 2 2 2" xfId="5392"/>
    <cellStyle name="Normal 11 2 2 2 2 3" xfId="4969"/>
    <cellStyle name="Normal 11 2 2 2 3" xfId="2111"/>
    <cellStyle name="Normal 11 2 2 2 3 2" xfId="5236"/>
    <cellStyle name="Normal 11 2 2 2 4" xfId="4810"/>
    <cellStyle name="Normal 11 2 2 3" xfId="2112"/>
    <cellStyle name="Normal 11 2 2 3 2" xfId="2113"/>
    <cellStyle name="Normal 11 2 2 3 2 2" xfId="5391"/>
    <cellStyle name="Normal 11 2 2 3 3" xfId="4968"/>
    <cellStyle name="Normal 11 2 2 4" xfId="2114"/>
    <cellStyle name="Normal 11 2 2 4 2" xfId="5196"/>
    <cellStyle name="Normal 11 2 2 5" xfId="4767"/>
    <cellStyle name="Normal 11 2 3" xfId="701"/>
    <cellStyle name="Normal 11 2 3 2" xfId="2115"/>
    <cellStyle name="Normal 11 2 3 2 2" xfId="2116"/>
    <cellStyle name="Normal 11 2 3 2 2 2" xfId="5393"/>
    <cellStyle name="Normal 11 2 3 2 3" xfId="4970"/>
    <cellStyle name="Normal 11 2 3 3" xfId="2117"/>
    <cellStyle name="Normal 11 2 3 3 2" xfId="5258"/>
    <cellStyle name="Normal 11 2 3 4" xfId="4833"/>
    <cellStyle name="Normal 11 2 4" xfId="2118"/>
    <cellStyle name="Normal 11 2 4 2" xfId="2119"/>
    <cellStyle name="Normal 11 2 4 2 2" xfId="2120"/>
    <cellStyle name="Normal 11 2 4 2 2 2" xfId="5394"/>
    <cellStyle name="Normal 11 2 4 2 3" xfId="4971"/>
    <cellStyle name="Normal 11 2 4 3" xfId="2121"/>
    <cellStyle name="Normal 11 2 4 3 2" xfId="5220"/>
    <cellStyle name="Normal 11 2 4 4" xfId="4794"/>
    <cellStyle name="Normal 11 2 5" xfId="2122"/>
    <cellStyle name="Normal 11 2 5 2" xfId="2123"/>
    <cellStyle name="Normal 11 2 5 2 2" xfId="2124"/>
    <cellStyle name="Normal 11 2 5 2 2 2" xfId="5395"/>
    <cellStyle name="Normal 11 2 5 2 3" xfId="4972"/>
    <cellStyle name="Normal 11 2 5 3" xfId="2125"/>
    <cellStyle name="Normal 11 2 5 3 2" xfId="5294"/>
    <cellStyle name="Normal 11 2 5 4" xfId="4871"/>
    <cellStyle name="Normal 11 2 6" xfId="2126"/>
    <cellStyle name="Normal 11 2 6 2" xfId="2127"/>
    <cellStyle name="Normal 11 2 6 2 2" xfId="2128"/>
    <cellStyle name="Normal 11 2 6 2 2 2" xfId="5396"/>
    <cellStyle name="Normal 11 2 6 2 3" xfId="4973"/>
    <cellStyle name="Normal 11 2 6 3" xfId="2129"/>
    <cellStyle name="Normal 11 2 6 3 2" xfId="5180"/>
    <cellStyle name="Normal 11 2 6 4" xfId="4751"/>
    <cellStyle name="Normal 11 2 7" xfId="2130"/>
    <cellStyle name="Normal 11 2 7 2" xfId="2131"/>
    <cellStyle name="Normal 11 2 7 2 2" xfId="5390"/>
    <cellStyle name="Normal 11 2 7 3" xfId="4967"/>
    <cellStyle name="Normal 11 2 8" xfId="2132"/>
    <cellStyle name="Normal 11 2 9" xfId="2133"/>
    <cellStyle name="Normal 11 2 9 2" xfId="5156"/>
    <cellStyle name="Normal 11 3" xfId="526"/>
    <cellStyle name="Normal 11 3 2" xfId="780"/>
    <cellStyle name="Normal 11 3 2 2" xfId="3806"/>
    <cellStyle name="Normal 11 3 3" xfId="2134"/>
    <cellStyle name="Normal 11 3 3 2" xfId="3807"/>
    <cellStyle name="Normal 11 3 3 3" xfId="5105"/>
    <cellStyle name="Normal 11 3 4" xfId="2135"/>
    <cellStyle name="Normal 11 3 5" xfId="4713"/>
    <cellStyle name="Normal 11 4" xfId="639"/>
    <cellStyle name="Normal 11 4 2" xfId="2136"/>
    <cellStyle name="Normal 11 4 3" xfId="3701"/>
    <cellStyle name="Normal 11 5" xfId="2137"/>
    <cellStyle name="Normal 11 5 2" xfId="2138"/>
    <cellStyle name="Normal 11 5 2 2" xfId="2139"/>
    <cellStyle name="Normal 11 5 2 2 2" xfId="5397"/>
    <cellStyle name="Normal 11 5 2 3" xfId="4974"/>
    <cellStyle name="Normal 11 5 3" xfId="2140"/>
    <cellStyle name="Normal 11 5 3 2" xfId="5304"/>
    <cellStyle name="Normal 11 5 4" xfId="4881"/>
    <cellStyle name="Normal 11 6" xfId="2141"/>
    <cellStyle name="Normal 11 7" xfId="2142"/>
    <cellStyle name="Normal 11 8" xfId="3700"/>
    <cellStyle name="Normal 110" xfId="2143"/>
    <cellStyle name="Normal 110 2" xfId="2144"/>
    <cellStyle name="Normal 110 2 2" xfId="3948"/>
    <cellStyle name="Normal 110 3" xfId="3947"/>
    <cellStyle name="Normal 111" xfId="2145"/>
    <cellStyle name="Normal 111 2" xfId="2146"/>
    <cellStyle name="Normal 111 2 2" xfId="3950"/>
    <cellStyle name="Normal 111 3" xfId="3949"/>
    <cellStyle name="Normal 112" xfId="2147"/>
    <cellStyle name="Normal 112 2" xfId="2148"/>
    <cellStyle name="Normal 112 2 2" xfId="3952"/>
    <cellStyle name="Normal 112 3" xfId="3951"/>
    <cellStyle name="Normal 113" xfId="2149"/>
    <cellStyle name="Normal 113 2" xfId="2150"/>
    <cellStyle name="Normal 113 2 2" xfId="3954"/>
    <cellStyle name="Normal 113 3" xfId="3953"/>
    <cellStyle name="Normal 114" xfId="2151"/>
    <cellStyle name="Normal 114 2" xfId="2152"/>
    <cellStyle name="Normal 114 2 2" xfId="3956"/>
    <cellStyle name="Normal 114 3" xfId="3955"/>
    <cellStyle name="Normal 115" xfId="2153"/>
    <cellStyle name="Normal 115 2" xfId="2154"/>
    <cellStyle name="Normal 115 2 2" xfId="3958"/>
    <cellStyle name="Normal 115 3" xfId="3957"/>
    <cellStyle name="Normal 116" xfId="2155"/>
    <cellStyle name="Normal 116 2" xfId="3959"/>
    <cellStyle name="Normal 117" xfId="2156"/>
    <cellStyle name="Normal 117 2" xfId="3960"/>
    <cellStyle name="Normal 118" xfId="2157"/>
    <cellStyle name="Normal 118 2" xfId="3961"/>
    <cellStyle name="Normal 119" xfId="2158"/>
    <cellStyle name="Normal 119 2" xfId="3962"/>
    <cellStyle name="Normal 12" xfId="10"/>
    <cellStyle name="Normal 12 2" xfId="396"/>
    <cellStyle name="Normal 12 3" xfId="2159"/>
    <cellStyle name="Normal 12 3 2" xfId="2160"/>
    <cellStyle name="Normal 12 3 2 2" xfId="2161"/>
    <cellStyle name="Normal 12 3 2 2 2" xfId="5398"/>
    <cellStyle name="Normal 12 3 2 3" xfId="4975"/>
    <cellStyle name="Normal 12 3 3" xfId="2162"/>
    <cellStyle name="Normal 12 3 3 2" xfId="5305"/>
    <cellStyle name="Normal 12 3 4" xfId="4882"/>
    <cellStyle name="Normal 12 4" xfId="2163"/>
    <cellStyle name="Normal 120" xfId="2164"/>
    <cellStyle name="Normal 120 2" xfId="3963"/>
    <cellStyle name="Normal 121" xfId="2165"/>
    <cellStyle name="Normal 121 2" xfId="3964"/>
    <cellStyle name="Normal 122" xfId="2166"/>
    <cellStyle name="Normal 122 2" xfId="3965"/>
    <cellStyle name="Normal 123" xfId="2167"/>
    <cellStyle name="Normal 123 2" xfId="3966"/>
    <cellStyle name="Normal 124" xfId="2168"/>
    <cellStyle name="Normal 124 2" xfId="3967"/>
    <cellStyle name="Normal 125" xfId="2169"/>
    <cellStyle name="Normal 125 2" xfId="3968"/>
    <cellStyle name="Normal 126" xfId="2170"/>
    <cellStyle name="Normal 126 2" xfId="3969"/>
    <cellStyle name="Normal 127" xfId="2171"/>
    <cellStyle name="Normal 127 2" xfId="3970"/>
    <cellStyle name="Normal 128" xfId="2172"/>
    <cellStyle name="Normal 128 2" xfId="3971"/>
    <cellStyle name="Normal 129" xfId="2173"/>
    <cellStyle name="Normal 129 2" xfId="3972"/>
    <cellStyle name="Normal 13" xfId="301"/>
    <cellStyle name="Normal 13 2" xfId="2174"/>
    <cellStyle name="Normal 13 2 2" xfId="3973"/>
    <cellStyle name="Normal 13 3" xfId="2175"/>
    <cellStyle name="Normal 13 4" xfId="2176"/>
    <cellStyle name="Normal 13 4 2" xfId="2177"/>
    <cellStyle name="Normal 13 5" xfId="2178"/>
    <cellStyle name="Normal 13 5 2" xfId="2179"/>
    <cellStyle name="Normal 13 5 2 2" xfId="2180"/>
    <cellStyle name="Normal 13 5 2 2 2" xfId="5399"/>
    <cellStyle name="Normal 13 5 2 3" xfId="4976"/>
    <cellStyle name="Normal 13 5 3" xfId="2181"/>
    <cellStyle name="Normal 13 5 3 2" xfId="5306"/>
    <cellStyle name="Normal 13 5 4" xfId="4883"/>
    <cellStyle name="Normal 130" xfId="2182"/>
    <cellStyle name="Normal 130 2" xfId="3974"/>
    <cellStyle name="Normal 131" xfId="2183"/>
    <cellStyle name="Normal 131 2" xfId="3975"/>
    <cellStyle name="Normal 132" xfId="2184"/>
    <cellStyle name="Normal 132 2" xfId="2185"/>
    <cellStyle name="Normal 132 2 2" xfId="3977"/>
    <cellStyle name="Normal 132 3" xfId="3976"/>
    <cellStyle name="Normal 133" xfId="2186"/>
    <cellStyle name="Normal 133 2" xfId="2187"/>
    <cellStyle name="Normal 133 2 2" xfId="3979"/>
    <cellStyle name="Normal 133 3" xfId="3978"/>
    <cellStyle name="Normal 134" xfId="2188"/>
    <cellStyle name="Normal 134 2" xfId="2189"/>
    <cellStyle name="Normal 134 2 2" xfId="3981"/>
    <cellStyle name="Normal 134 3" xfId="3980"/>
    <cellStyle name="Normal 135" xfId="2190"/>
    <cellStyle name="Normal 135 2" xfId="2191"/>
    <cellStyle name="Normal 135 2 2" xfId="3983"/>
    <cellStyle name="Normal 135 3" xfId="3982"/>
    <cellStyle name="Normal 136" xfId="2192"/>
    <cellStyle name="Normal 136 2" xfId="2193"/>
    <cellStyle name="Normal 136 2 2" xfId="3985"/>
    <cellStyle name="Normal 136 3" xfId="3984"/>
    <cellStyle name="Normal 137" xfId="2194"/>
    <cellStyle name="Normal 137 2" xfId="2195"/>
    <cellStyle name="Normal 137 2 2" xfId="3987"/>
    <cellStyle name="Normal 137 3" xfId="3986"/>
    <cellStyle name="Normal 138" xfId="2196"/>
    <cellStyle name="Normal 138 2" xfId="2197"/>
    <cellStyle name="Normal 138 2 2" xfId="3989"/>
    <cellStyle name="Normal 138 3" xfId="3988"/>
    <cellStyle name="Normal 139" xfId="2198"/>
    <cellStyle name="Normal 139 2" xfId="2199"/>
    <cellStyle name="Normal 139 2 2" xfId="3991"/>
    <cellStyle name="Normal 139 3" xfId="3990"/>
    <cellStyle name="Normal 14" xfId="302"/>
    <cellStyle name="Normal 14 10" xfId="4715"/>
    <cellStyle name="Normal 14 2" xfId="2200"/>
    <cellStyle name="Normal 14 2 10" xfId="3992"/>
    <cellStyle name="Normal 14 2 11" xfId="4716"/>
    <cellStyle name="Normal 14 2 2" xfId="2201"/>
    <cellStyle name="Normal 14 2 2 2" xfId="2202"/>
    <cellStyle name="Normal 14 2 2 2 2" xfId="2203"/>
    <cellStyle name="Normal 14 2 2 2 2 2" xfId="2204"/>
    <cellStyle name="Normal 14 2 2 2 2 2 2" xfId="2205"/>
    <cellStyle name="Normal 14 2 2 2 2 2 2 2" xfId="5404"/>
    <cellStyle name="Normal 14 2 2 2 2 2 3" xfId="4981"/>
    <cellStyle name="Normal 14 2 2 2 2 3" xfId="2206"/>
    <cellStyle name="Normal 14 2 2 2 2 3 2" xfId="5238"/>
    <cellStyle name="Normal 14 2 2 2 2 4" xfId="4812"/>
    <cellStyle name="Normal 14 2 2 2 3" xfId="2207"/>
    <cellStyle name="Normal 14 2 2 2 3 2" xfId="2208"/>
    <cellStyle name="Normal 14 2 2 2 3 2 2" xfId="5403"/>
    <cellStyle name="Normal 14 2 2 2 3 3" xfId="4980"/>
    <cellStyle name="Normal 14 2 2 2 4" xfId="2209"/>
    <cellStyle name="Normal 14 2 2 2 4 2" xfId="5198"/>
    <cellStyle name="Normal 14 2 2 2 5" xfId="4769"/>
    <cellStyle name="Normal 14 2 2 3" xfId="2210"/>
    <cellStyle name="Normal 14 2 2 3 2" xfId="2211"/>
    <cellStyle name="Normal 14 2 2 3 2 2" xfId="2212"/>
    <cellStyle name="Normal 14 2 2 3 2 2 2" xfId="5405"/>
    <cellStyle name="Normal 14 2 2 3 2 3" xfId="4982"/>
    <cellStyle name="Normal 14 2 2 3 3" xfId="2213"/>
    <cellStyle name="Normal 14 2 2 3 3 2" xfId="5261"/>
    <cellStyle name="Normal 14 2 2 3 4" xfId="4836"/>
    <cellStyle name="Normal 14 2 2 4" xfId="2214"/>
    <cellStyle name="Normal 14 2 2 4 2" xfId="2215"/>
    <cellStyle name="Normal 14 2 2 4 2 2" xfId="2216"/>
    <cellStyle name="Normal 14 2 2 4 2 2 2" xfId="5406"/>
    <cellStyle name="Normal 14 2 2 4 2 3" xfId="4983"/>
    <cellStyle name="Normal 14 2 2 4 3" xfId="2217"/>
    <cellStyle name="Normal 14 2 2 4 3 2" xfId="5222"/>
    <cellStyle name="Normal 14 2 2 4 4" xfId="4796"/>
    <cellStyle name="Normal 14 2 2 5" xfId="2218"/>
    <cellStyle name="Normal 14 2 2 5 2" xfId="2219"/>
    <cellStyle name="Normal 14 2 2 5 2 2" xfId="2220"/>
    <cellStyle name="Normal 14 2 2 5 2 2 2" xfId="5407"/>
    <cellStyle name="Normal 14 2 2 5 2 3" xfId="4984"/>
    <cellStyle name="Normal 14 2 2 5 3" xfId="2221"/>
    <cellStyle name="Normal 14 2 2 5 3 2" xfId="5297"/>
    <cellStyle name="Normal 14 2 2 5 4" xfId="4874"/>
    <cellStyle name="Normal 14 2 2 6" xfId="2222"/>
    <cellStyle name="Normal 14 2 2 6 2" xfId="2223"/>
    <cellStyle name="Normal 14 2 2 6 2 2" xfId="2224"/>
    <cellStyle name="Normal 14 2 2 6 2 2 2" xfId="5408"/>
    <cellStyle name="Normal 14 2 2 6 2 3" xfId="4985"/>
    <cellStyle name="Normal 14 2 2 6 3" xfId="2225"/>
    <cellStyle name="Normal 14 2 2 6 3 2" xfId="5182"/>
    <cellStyle name="Normal 14 2 2 6 4" xfId="4753"/>
    <cellStyle name="Normal 14 2 2 7" xfId="2226"/>
    <cellStyle name="Normal 14 2 2 7 2" xfId="2227"/>
    <cellStyle name="Normal 14 2 2 7 2 2" xfId="5402"/>
    <cellStyle name="Normal 14 2 2 7 3" xfId="4979"/>
    <cellStyle name="Normal 14 2 2 8" xfId="2228"/>
    <cellStyle name="Normal 14 2 2 8 2" xfId="5159"/>
    <cellStyle name="Normal 14 2 2 9" xfId="4717"/>
    <cellStyle name="Normal 14 2 3" xfId="2229"/>
    <cellStyle name="Normal 14 2 3 2" xfId="2230"/>
    <cellStyle name="Normal 14 2 3 2 2" xfId="2231"/>
    <cellStyle name="Normal 14 2 3 2 2 2" xfId="2232"/>
    <cellStyle name="Normal 14 2 3 2 2 2 2" xfId="5410"/>
    <cellStyle name="Normal 14 2 3 2 2 3" xfId="4987"/>
    <cellStyle name="Normal 14 2 3 2 3" xfId="2233"/>
    <cellStyle name="Normal 14 2 3 2 3 2" xfId="5237"/>
    <cellStyle name="Normal 14 2 3 2 4" xfId="4811"/>
    <cellStyle name="Normal 14 2 3 3" xfId="2234"/>
    <cellStyle name="Normal 14 2 3 3 2" xfId="2235"/>
    <cellStyle name="Normal 14 2 3 3 2 2" xfId="5409"/>
    <cellStyle name="Normal 14 2 3 3 3" xfId="4986"/>
    <cellStyle name="Normal 14 2 3 4" xfId="2236"/>
    <cellStyle name="Normal 14 2 3 4 2" xfId="5197"/>
    <cellStyle name="Normal 14 2 3 5" xfId="4768"/>
    <cellStyle name="Normal 14 2 4" xfId="2237"/>
    <cellStyle name="Normal 14 2 4 2" xfId="2238"/>
    <cellStyle name="Normal 14 2 4 2 2" xfId="2239"/>
    <cellStyle name="Normal 14 2 4 2 2 2" xfId="5411"/>
    <cellStyle name="Normal 14 2 4 2 3" xfId="4988"/>
    <cellStyle name="Normal 14 2 4 3" xfId="2240"/>
    <cellStyle name="Normal 14 2 4 3 2" xfId="5260"/>
    <cellStyle name="Normal 14 2 4 4" xfId="4835"/>
    <cellStyle name="Normal 14 2 5" xfId="2241"/>
    <cellStyle name="Normal 14 2 5 2" xfId="2242"/>
    <cellStyle name="Normal 14 2 5 2 2" xfId="2243"/>
    <cellStyle name="Normal 14 2 5 2 2 2" xfId="5412"/>
    <cellStyle name="Normal 14 2 5 2 3" xfId="4989"/>
    <cellStyle name="Normal 14 2 5 3" xfId="2244"/>
    <cellStyle name="Normal 14 2 5 3 2" xfId="5221"/>
    <cellStyle name="Normal 14 2 5 4" xfId="4795"/>
    <cellStyle name="Normal 14 2 6" xfId="2245"/>
    <cellStyle name="Normal 14 2 6 2" xfId="2246"/>
    <cellStyle name="Normal 14 2 6 2 2" xfId="2247"/>
    <cellStyle name="Normal 14 2 6 2 2 2" xfId="5413"/>
    <cellStyle name="Normal 14 2 6 2 3" xfId="4990"/>
    <cellStyle name="Normal 14 2 6 3" xfId="2248"/>
    <cellStyle name="Normal 14 2 6 3 2" xfId="5296"/>
    <cellStyle name="Normal 14 2 6 4" xfId="4873"/>
    <cellStyle name="Normal 14 2 7" xfId="2249"/>
    <cellStyle name="Normal 14 2 7 2" xfId="2250"/>
    <cellStyle name="Normal 14 2 7 2 2" xfId="2251"/>
    <cellStyle name="Normal 14 2 7 2 2 2" xfId="5414"/>
    <cellStyle name="Normal 14 2 7 2 3" xfId="4991"/>
    <cellStyle name="Normal 14 2 7 3" xfId="2252"/>
    <cellStyle name="Normal 14 2 7 3 2" xfId="5181"/>
    <cellStyle name="Normal 14 2 7 4" xfId="4752"/>
    <cellStyle name="Normal 14 2 8" xfId="2253"/>
    <cellStyle name="Normal 14 2 8 2" xfId="2254"/>
    <cellStyle name="Normal 14 2 8 2 2" xfId="5401"/>
    <cellStyle name="Normal 14 2 8 3" xfId="4978"/>
    <cellStyle name="Normal 14 2 9" xfId="2255"/>
    <cellStyle name="Normal 14 2 9 2" xfId="5158"/>
    <cellStyle name="Normal 14 3" xfId="2256"/>
    <cellStyle name="Normal 14 3 2" xfId="2257"/>
    <cellStyle name="Normal 14 3 2 2" xfId="2258"/>
    <cellStyle name="Normal 14 3 2 2 2" xfId="2259"/>
    <cellStyle name="Normal 14 3 2 2 2 2" xfId="2260"/>
    <cellStyle name="Normal 14 3 2 2 2 2 2" xfId="5417"/>
    <cellStyle name="Normal 14 3 2 2 2 3" xfId="4994"/>
    <cellStyle name="Normal 14 3 2 2 3" xfId="2261"/>
    <cellStyle name="Normal 14 3 2 2 3 2" xfId="5239"/>
    <cellStyle name="Normal 14 3 2 2 4" xfId="4813"/>
    <cellStyle name="Normal 14 3 2 3" xfId="2262"/>
    <cellStyle name="Normal 14 3 2 3 2" xfId="2263"/>
    <cellStyle name="Normal 14 3 2 3 2 2" xfId="5416"/>
    <cellStyle name="Normal 14 3 2 3 3" xfId="4993"/>
    <cellStyle name="Normal 14 3 2 4" xfId="2264"/>
    <cellStyle name="Normal 14 3 2 4 2" xfId="5199"/>
    <cellStyle name="Normal 14 3 2 5" xfId="4770"/>
    <cellStyle name="Normal 14 3 3" xfId="2265"/>
    <cellStyle name="Normal 14 3 3 2" xfId="2266"/>
    <cellStyle name="Normal 14 3 3 2 2" xfId="2267"/>
    <cellStyle name="Normal 14 3 3 2 2 2" xfId="5418"/>
    <cellStyle name="Normal 14 3 3 2 3" xfId="4995"/>
    <cellStyle name="Normal 14 3 3 3" xfId="2268"/>
    <cellStyle name="Normal 14 3 3 3 2" xfId="5262"/>
    <cellStyle name="Normal 14 3 3 4" xfId="4837"/>
    <cellStyle name="Normal 14 3 4" xfId="2269"/>
    <cellStyle name="Normal 14 3 4 2" xfId="2270"/>
    <cellStyle name="Normal 14 3 4 2 2" xfId="2271"/>
    <cellStyle name="Normal 14 3 4 2 2 2" xfId="5419"/>
    <cellStyle name="Normal 14 3 4 2 3" xfId="4996"/>
    <cellStyle name="Normal 14 3 4 3" xfId="2272"/>
    <cellStyle name="Normal 14 3 4 3 2" xfId="5223"/>
    <cellStyle name="Normal 14 3 4 4" xfId="4797"/>
    <cellStyle name="Normal 14 3 5" xfId="2273"/>
    <cellStyle name="Normal 14 3 5 2" xfId="2274"/>
    <cellStyle name="Normal 14 3 5 2 2" xfId="2275"/>
    <cellStyle name="Normal 14 3 5 2 2 2" xfId="5420"/>
    <cellStyle name="Normal 14 3 5 2 3" xfId="4997"/>
    <cellStyle name="Normal 14 3 5 3" xfId="2276"/>
    <cellStyle name="Normal 14 3 5 3 2" xfId="5298"/>
    <cellStyle name="Normal 14 3 5 4" xfId="4875"/>
    <cellStyle name="Normal 14 3 6" xfId="2277"/>
    <cellStyle name="Normal 14 3 6 2" xfId="2278"/>
    <cellStyle name="Normal 14 3 6 2 2" xfId="2279"/>
    <cellStyle name="Normal 14 3 6 2 2 2" xfId="5421"/>
    <cellStyle name="Normal 14 3 6 2 3" xfId="4998"/>
    <cellStyle name="Normal 14 3 6 3" xfId="2280"/>
    <cellStyle name="Normal 14 3 6 3 2" xfId="5183"/>
    <cellStyle name="Normal 14 3 6 4" xfId="4754"/>
    <cellStyle name="Normal 14 3 7" xfId="2281"/>
    <cellStyle name="Normal 14 3 7 2" xfId="2282"/>
    <cellStyle name="Normal 14 3 7 2 2" xfId="5415"/>
    <cellStyle name="Normal 14 3 7 3" xfId="4992"/>
    <cellStyle name="Normal 14 3 8" xfId="2283"/>
    <cellStyle name="Normal 14 3 8 2" xfId="5160"/>
    <cellStyle name="Normal 14 3 9" xfId="4718"/>
    <cellStyle name="Normal 14 4" xfId="2284"/>
    <cellStyle name="Normal 14 4 2" xfId="2285"/>
    <cellStyle name="Normal 14 4 2 2" xfId="2286"/>
    <cellStyle name="Normal 14 4 2 2 2" xfId="5422"/>
    <cellStyle name="Normal 14 4 2 3" xfId="4999"/>
    <cellStyle name="Normal 14 4 3" xfId="2287"/>
    <cellStyle name="Normal 14 4 3 2" xfId="5259"/>
    <cellStyle name="Normal 14 4 4" xfId="4834"/>
    <cellStyle name="Normal 14 5" xfId="2288"/>
    <cellStyle name="Normal 14 5 2" xfId="2289"/>
    <cellStyle name="Normal 14 5 2 2" xfId="2290"/>
    <cellStyle name="Normal 14 5 2 2 2" xfId="5423"/>
    <cellStyle name="Normal 14 5 2 3" xfId="5000"/>
    <cellStyle name="Normal 14 5 3" xfId="2291"/>
    <cellStyle name="Normal 14 5 3 2" xfId="5295"/>
    <cellStyle name="Normal 14 5 4" xfId="4872"/>
    <cellStyle name="Normal 14 6" xfId="2292"/>
    <cellStyle name="Normal 14 6 2" xfId="2293"/>
    <cellStyle name="Normal 14 7" xfId="2294"/>
    <cellStyle name="Normal 14 7 2" xfId="2295"/>
    <cellStyle name="Normal 14 7 2 2" xfId="5400"/>
    <cellStyle name="Normal 14 7 3" xfId="4977"/>
    <cellStyle name="Normal 14 8" xfId="2296"/>
    <cellStyle name="Normal 14 9" xfId="2297"/>
    <cellStyle name="Normal 14 9 2" xfId="5157"/>
    <cellStyle name="Normal 140" xfId="2298"/>
    <cellStyle name="Normal 140 2" xfId="2299"/>
    <cellStyle name="Normal 140 2 2" xfId="3994"/>
    <cellStyle name="Normal 140 3" xfId="3993"/>
    <cellStyle name="Normal 141" xfId="2300"/>
    <cellStyle name="Normal 141 2" xfId="2301"/>
    <cellStyle name="Normal 141 2 2" xfId="3996"/>
    <cellStyle name="Normal 141 3" xfId="3995"/>
    <cellStyle name="Normal 142" xfId="2302"/>
    <cellStyle name="Normal 142 2" xfId="2303"/>
    <cellStyle name="Normal 142 2 2" xfId="3998"/>
    <cellStyle name="Normal 142 3" xfId="3997"/>
    <cellStyle name="Normal 143" xfId="2304"/>
    <cellStyle name="Normal 143 2" xfId="2305"/>
    <cellStyle name="Normal 143 2 2" xfId="4000"/>
    <cellStyle name="Normal 143 3" xfId="3999"/>
    <cellStyle name="Normal 144" xfId="2306"/>
    <cellStyle name="Normal 144 2" xfId="4001"/>
    <cellStyle name="Normal 145" xfId="2307"/>
    <cellStyle name="Normal 145 2" xfId="4002"/>
    <cellStyle name="Normal 146" xfId="2308"/>
    <cellStyle name="Normal 146 2" xfId="4003"/>
    <cellStyle name="Normal 147" xfId="2309"/>
    <cellStyle name="Normal 147 2" xfId="4004"/>
    <cellStyle name="Normal 148" xfId="2310"/>
    <cellStyle name="Normal 148 2" xfId="4005"/>
    <cellStyle name="Normal 149" xfId="2311"/>
    <cellStyle name="Normal 149 2" xfId="4006"/>
    <cellStyle name="Normal 15" xfId="303"/>
    <cellStyle name="Normal 15 2" xfId="2312"/>
    <cellStyle name="Normal 15 2 2" xfId="4007"/>
    <cellStyle name="Normal 15 3" xfId="2313"/>
    <cellStyle name="Normal 15 3 2" xfId="2314"/>
    <cellStyle name="Normal 15 4" xfId="2315"/>
    <cellStyle name="Normal 150" xfId="2316"/>
    <cellStyle name="Normal 150 2" xfId="4008"/>
    <cellStyle name="Normal 151" xfId="2317"/>
    <cellStyle name="Normal 151 2" xfId="4009"/>
    <cellStyle name="Normal 152" xfId="2318"/>
    <cellStyle name="Normal 152 2" xfId="4010"/>
    <cellStyle name="Normal 153" xfId="2319"/>
    <cellStyle name="Normal 153 2" xfId="4011"/>
    <cellStyle name="Normal 154" xfId="2320"/>
    <cellStyle name="Normal 154 2" xfId="4012"/>
    <cellStyle name="Normal 155" xfId="2321"/>
    <cellStyle name="Normal 155 2" xfId="4013"/>
    <cellStyle name="Normal 156" xfId="2322"/>
    <cellStyle name="Normal 156 2" xfId="4014"/>
    <cellStyle name="Normal 157" xfId="2323"/>
    <cellStyle name="Normal 157 2" xfId="4015"/>
    <cellStyle name="Normal 158" xfId="2324"/>
    <cellStyle name="Normal 158 2" xfId="4016"/>
    <cellStyle name="Normal 159" xfId="2325"/>
    <cellStyle name="Normal 159 2" xfId="4017"/>
    <cellStyle name="Normal 16" xfId="304"/>
    <cellStyle name="Normal 16 2" xfId="448"/>
    <cellStyle name="Normal 16 2 2" xfId="529"/>
    <cellStyle name="Normal 16 2 2 2" xfId="783"/>
    <cellStyle name="Normal 16 2 3" xfId="702"/>
    <cellStyle name="Normal 16 2 4" xfId="4018"/>
    <cellStyle name="Normal 16 3" xfId="528"/>
    <cellStyle name="Normal 16 3 2" xfId="782"/>
    <cellStyle name="Normal 16 3 2 2" xfId="5103"/>
    <cellStyle name="Normal 16 3 3" xfId="4737"/>
    <cellStyle name="Normal 16 4" xfId="640"/>
    <cellStyle name="Normal 16 5" xfId="3702"/>
    <cellStyle name="Normal 160" xfId="2326"/>
    <cellStyle name="Normal 160 2" xfId="4019"/>
    <cellStyle name="Normal 161" xfId="2327"/>
    <cellStyle name="Normal 161 2" xfId="4020"/>
    <cellStyle name="Normal 162" xfId="2328"/>
    <cellStyle name="Normal 162 2" xfId="4021"/>
    <cellStyle name="Normal 163" xfId="2329"/>
    <cellStyle name="Normal 163 2" xfId="4022"/>
    <cellStyle name="Normal 164" xfId="2330"/>
    <cellStyle name="Normal 164 2" xfId="4023"/>
    <cellStyle name="Normal 165" xfId="2331"/>
    <cellStyle name="Normal 165 2" xfId="4024"/>
    <cellStyle name="Normal 166" xfId="2332"/>
    <cellStyle name="Normal 166 2" xfId="4025"/>
    <cellStyle name="Normal 167" xfId="2333"/>
    <cellStyle name="Normal 167 2" xfId="4026"/>
    <cellStyle name="Normal 168" xfId="2334"/>
    <cellStyle name="Normal 168 2" xfId="2335"/>
    <cellStyle name="Normal 168 2 2" xfId="4028"/>
    <cellStyle name="Normal 168 3" xfId="4027"/>
    <cellStyle name="Normal 169" xfId="2336"/>
    <cellStyle name="Normal 169 2" xfId="2337"/>
    <cellStyle name="Normal 169 2 2" xfId="4030"/>
    <cellStyle name="Normal 169 3" xfId="4029"/>
    <cellStyle name="Normal 17" xfId="305"/>
    <cellStyle name="Normal 17 2" xfId="2338"/>
    <cellStyle name="Normal 17 3" xfId="2339"/>
    <cellStyle name="Normal 17 4" xfId="2340"/>
    <cellStyle name="Normal 170" xfId="2341"/>
    <cellStyle name="Normal 170 2" xfId="2342"/>
    <cellStyle name="Normal 170 2 2" xfId="4032"/>
    <cellStyle name="Normal 170 3" xfId="4031"/>
    <cellStyle name="Normal 171" xfId="2343"/>
    <cellStyle name="Normal 171 2" xfId="2344"/>
    <cellStyle name="Normal 171 2 2" xfId="4034"/>
    <cellStyle name="Normal 171 3" xfId="4033"/>
    <cellStyle name="Normal 172" xfId="2345"/>
    <cellStyle name="Normal 172 2" xfId="4035"/>
    <cellStyle name="Normal 173" xfId="2346"/>
    <cellStyle name="Normal 173 2" xfId="4036"/>
    <cellStyle name="Normal 174" xfId="2347"/>
    <cellStyle name="Normal 174 2" xfId="4037"/>
    <cellStyle name="Normal 175" xfId="2348"/>
    <cellStyle name="Normal 175 2" xfId="4038"/>
    <cellStyle name="Normal 176" xfId="2349"/>
    <cellStyle name="Normal 176 2" xfId="4039"/>
    <cellStyle name="Normal 177" xfId="2350"/>
    <cellStyle name="Normal 177 2" xfId="4040"/>
    <cellStyle name="Normal 178" xfId="2351"/>
    <cellStyle name="Normal 178 2" xfId="4041"/>
    <cellStyle name="Normal 179" xfId="2352"/>
    <cellStyle name="Normal 179 2" xfId="4042"/>
    <cellStyle name="Normal 18" xfId="392"/>
    <cellStyle name="Normal 18 2" xfId="486"/>
    <cellStyle name="Normal 18 2 2" xfId="531"/>
    <cellStyle name="Normal 18 2 2 2" xfId="785"/>
    <cellStyle name="Normal 18 2 2 3" xfId="5100"/>
    <cellStyle name="Normal 18 2 3" xfId="740"/>
    <cellStyle name="Normal 18 2 4" xfId="3704"/>
    <cellStyle name="Normal 18 2 5" xfId="4771"/>
    <cellStyle name="Normal 18 3" xfId="530"/>
    <cellStyle name="Normal 18 3 2" xfId="784"/>
    <cellStyle name="Normal 18 3 2 2" xfId="3810"/>
    <cellStyle name="Normal 18 3 3" xfId="2353"/>
    <cellStyle name="Normal 18 3 3 2" xfId="3811"/>
    <cellStyle name="Normal 18 3 3 3" xfId="5109"/>
    <cellStyle name="Normal 18 3 4" xfId="2354"/>
    <cellStyle name="Normal 18 3 5" xfId="4838"/>
    <cellStyle name="Normal 18 4" xfId="681"/>
    <cellStyle name="Normal 18 4 2" xfId="3705"/>
    <cellStyle name="Normal 18 4 3" xfId="4740"/>
    <cellStyle name="Normal 18 5" xfId="2355"/>
    <cellStyle name="Normal 18 6" xfId="3703"/>
    <cellStyle name="Normal 18 7" xfId="4719"/>
    <cellStyle name="Normal 180" xfId="2356"/>
    <cellStyle name="Normal 180 2" xfId="4043"/>
    <cellStyle name="Normal 181" xfId="2357"/>
    <cellStyle name="Normal 181 2" xfId="4044"/>
    <cellStyle name="Normal 182" xfId="2358"/>
    <cellStyle name="Normal 182 2" xfId="2359"/>
    <cellStyle name="Normal 182 3" xfId="2360"/>
    <cellStyle name="Normal 182 3 2" xfId="3812"/>
    <cellStyle name="Normal 182 3 3" xfId="5124"/>
    <cellStyle name="Normal 183" xfId="2361"/>
    <cellStyle name="Normal 183 2" xfId="2362"/>
    <cellStyle name="Normal 183 3" xfId="2363"/>
    <cellStyle name="Normal 183 3 2" xfId="3813"/>
    <cellStyle name="Normal 183 3 3" xfId="5085"/>
    <cellStyle name="Normal 184" xfId="2364"/>
    <cellStyle name="Normal 184 2" xfId="2365"/>
    <cellStyle name="Normal 184 3" xfId="2366"/>
    <cellStyle name="Normal 184 3 2" xfId="3814"/>
    <cellStyle name="Normal 184 3 3" xfId="5084"/>
    <cellStyle name="Normal 185" xfId="2367"/>
    <cellStyle name="Normal 185 2" xfId="2368"/>
    <cellStyle name="Normal 185 2 2" xfId="2369"/>
    <cellStyle name="Normal 185 2 3" xfId="2370"/>
    <cellStyle name="Normal 185 2 3 2" xfId="3815"/>
    <cellStyle name="Normal 185 2 3 3" xfId="5128"/>
    <cellStyle name="Normal 185 3" xfId="2371"/>
    <cellStyle name="Normal 185 3 2" xfId="4046"/>
    <cellStyle name="Normal 185 4" xfId="4045"/>
    <cellStyle name="Normal 186" xfId="2372"/>
    <cellStyle name="Normal 186 2" xfId="4047"/>
    <cellStyle name="Normal 187" xfId="2373"/>
    <cellStyle name="Normal 187 2" xfId="4048"/>
    <cellStyle name="Normal 188" xfId="2374"/>
    <cellStyle name="Normal 188 2" xfId="4049"/>
    <cellStyle name="Normal 189" xfId="2375"/>
    <cellStyle name="Normal 189 2" xfId="4050"/>
    <cellStyle name="Normal 19" xfId="488"/>
    <cellStyle name="Normal 19 2" xfId="742"/>
    <cellStyle name="Normal 19 2 2" xfId="4051"/>
    <cellStyle name="Normal 19 3" xfId="2376"/>
    <cellStyle name="Normal 19 3 2" xfId="2377"/>
    <cellStyle name="Normal 19 3 2 2" xfId="2378"/>
    <cellStyle name="Normal 19 3 2 2 2" xfId="5425"/>
    <cellStyle name="Normal 19 3 2 3" xfId="5002"/>
    <cellStyle name="Normal 19 3 3" xfId="2379"/>
    <cellStyle name="Normal 19 3 3 2" xfId="5263"/>
    <cellStyle name="Normal 19 3 4" xfId="4839"/>
    <cellStyle name="Normal 19 4" xfId="2380"/>
    <cellStyle name="Normal 19 4 2" xfId="2381"/>
    <cellStyle name="Normal 19 4 2 2" xfId="2382"/>
    <cellStyle name="Normal 19 4 2 2 2" xfId="5426"/>
    <cellStyle name="Normal 19 4 2 3" xfId="5003"/>
    <cellStyle name="Normal 19 4 3" xfId="2383"/>
    <cellStyle name="Normal 19 4 3 2" xfId="5299"/>
    <cellStyle name="Normal 19 4 4" xfId="4876"/>
    <cellStyle name="Normal 19 5" xfId="2384"/>
    <cellStyle name="Normal 19 6" xfId="2385"/>
    <cellStyle name="Normal 19 6 2" xfId="2386"/>
    <cellStyle name="Normal 19 6 2 2" xfId="5424"/>
    <cellStyle name="Normal 19 6 3" xfId="5001"/>
    <cellStyle name="Normal 19 7" xfId="2387"/>
    <cellStyle name="Normal 19 7 2" xfId="5161"/>
    <cellStyle name="Normal 19 8" xfId="4720"/>
    <cellStyle name="Normal 190" xfId="2388"/>
    <cellStyle name="Normal 190 2" xfId="4052"/>
    <cellStyle name="Normal 191" xfId="2389"/>
    <cellStyle name="Normal 191 2" xfId="4053"/>
    <cellStyle name="Normal 192" xfId="2390"/>
    <cellStyle name="Normal 192 2" xfId="4054"/>
    <cellStyle name="Normal 193" xfId="2391"/>
    <cellStyle name="Normal 193 2" xfId="4055"/>
    <cellStyle name="Normal 194" xfId="2392"/>
    <cellStyle name="Normal 194 2" xfId="4056"/>
    <cellStyle name="Normal 195" xfId="2393"/>
    <cellStyle name="Normal 195 2" xfId="4057"/>
    <cellStyle name="Normal 196" xfId="2394"/>
    <cellStyle name="Normal 196 2" xfId="4058"/>
    <cellStyle name="Normal 197" xfId="2395"/>
    <cellStyle name="Normal 197 2" xfId="4059"/>
    <cellStyle name="Normal 198" xfId="2396"/>
    <cellStyle name="Normal 198 2" xfId="4060"/>
    <cellStyle name="Normal 199" xfId="2397"/>
    <cellStyle name="Normal 199 2" xfId="2398"/>
    <cellStyle name="Normal 199 3" xfId="2399"/>
    <cellStyle name="Normal 199 3 2" xfId="3818"/>
    <cellStyle name="Normal 199 3 3" xfId="5075"/>
    <cellStyle name="Normal 2" xfId="11"/>
    <cellStyle name="Normal 2 2" xfId="70"/>
    <cellStyle name="Normal 2 2 2" xfId="430"/>
    <cellStyle name="Normal 2 2 2 2" xfId="534"/>
    <cellStyle name="Normal 2 2 2 2 2" xfId="788"/>
    <cellStyle name="Normal 2 2 2 3" xfId="684"/>
    <cellStyle name="Normal 2 2 2 4" xfId="4062"/>
    <cellStyle name="Normal 2 2 3" xfId="615"/>
    <cellStyle name="Normal 2 2 3 2" xfId="864"/>
    <cellStyle name="Normal 2 2 4" xfId="611"/>
    <cellStyle name="Normal 2 2 5" xfId="533"/>
    <cellStyle name="Normal 2 2 5 2" xfId="787"/>
    <cellStyle name="Normal 2 2 6" xfId="622"/>
    <cellStyle name="Normal 2 3" xfId="73"/>
    <cellStyle name="Normal 2 3 2" xfId="2400"/>
    <cellStyle name="Normal 2 3 2 2" xfId="4063"/>
    <cellStyle name="Normal 2 3 3" xfId="2401"/>
    <cellStyle name="Normal 2 4" xfId="397"/>
    <cellStyle name="Normal 2 4 2" xfId="535"/>
    <cellStyle name="Normal 2 4 2 2" xfId="789"/>
    <cellStyle name="Normal 2 4 2 3" xfId="5481"/>
    <cellStyle name="Normal 2 4 3" xfId="683"/>
    <cellStyle name="Normal 2 4 4" xfId="4061"/>
    <cellStyle name="Normal 2 4 5" xfId="5059"/>
    <cellStyle name="Normal 2 5" xfId="532"/>
    <cellStyle name="Normal 2 5 2" xfId="786"/>
    <cellStyle name="Normal 2 5 3" xfId="5508"/>
    <cellStyle name="Normal 2 6" xfId="621"/>
    <cellStyle name="Normal 2 7" xfId="680"/>
    <cellStyle name="Normal 2 8" xfId="5517"/>
    <cellStyle name="Normal 2 9" xfId="5526"/>
    <cellStyle name="Normal 2_Federal Interest Calculation Su" xfId="2402"/>
    <cellStyle name="Normal 20" xfId="865"/>
    <cellStyle name="Normal 20 10" xfId="4721"/>
    <cellStyle name="Normal 20 2" xfId="2403"/>
    <cellStyle name="Normal 20 2 2" xfId="2404"/>
    <cellStyle name="Normal 20 3" xfId="2405"/>
    <cellStyle name="Normal 20 3 2" xfId="2406"/>
    <cellStyle name="Normal 20 3 2 2" xfId="2407"/>
    <cellStyle name="Normal 20 3 2 3" xfId="2408"/>
    <cellStyle name="Normal 20 3 2 3 2" xfId="5428"/>
    <cellStyle name="Normal 20 3 2 4" xfId="5005"/>
    <cellStyle name="Normal 20 3 3" xfId="2409"/>
    <cellStyle name="Normal 20 3 3 2" xfId="3819"/>
    <cellStyle name="Normal 20 3 3 3" xfId="5065"/>
    <cellStyle name="Normal 20 3 4" xfId="2410"/>
    <cellStyle name="Normal 20 3 5" xfId="2411"/>
    <cellStyle name="Normal 20 3 5 2" xfId="5264"/>
    <cellStyle name="Normal 20 3 6" xfId="4840"/>
    <cellStyle name="Normal 20 4" xfId="2412"/>
    <cellStyle name="Normal 20 4 2" xfId="2413"/>
    <cellStyle name="Normal 20 4 2 2" xfId="2414"/>
    <cellStyle name="Normal 20 4 2 2 2" xfId="5429"/>
    <cellStyle name="Normal 20 4 2 3" xfId="5006"/>
    <cellStyle name="Normal 20 4 3" xfId="2415"/>
    <cellStyle name="Normal 20 4 3 2" xfId="5300"/>
    <cellStyle name="Normal 20 4 4" xfId="3707"/>
    <cellStyle name="Normal 20 4 5" xfId="4877"/>
    <cellStyle name="Normal 20 5" xfId="2416"/>
    <cellStyle name="Normal 20 6" xfId="2417"/>
    <cellStyle name="Normal 20 6 2" xfId="2418"/>
    <cellStyle name="Normal 20 6 2 2" xfId="5427"/>
    <cellStyle name="Normal 20 6 3" xfId="5004"/>
    <cellStyle name="Normal 20 7" xfId="2419"/>
    <cellStyle name="Normal 20 8" xfId="2420"/>
    <cellStyle name="Normal 20 8 2" xfId="5162"/>
    <cellStyle name="Normal 20 9" xfId="3706"/>
    <cellStyle name="Normal 200" xfId="2421"/>
    <cellStyle name="Normal 200 2" xfId="4064"/>
    <cellStyle name="Normal 201" xfId="2422"/>
    <cellStyle name="Normal 201 2" xfId="4065"/>
    <cellStyle name="Normal 202" xfId="2423"/>
    <cellStyle name="Normal 202 2" xfId="4066"/>
    <cellStyle name="Normal 203" xfId="2424"/>
    <cellStyle name="Normal 203 2" xfId="4067"/>
    <cellStyle name="Normal 204" xfId="2425"/>
    <cellStyle name="Normal 204 2" xfId="4068"/>
    <cellStyle name="Normal 205" xfId="2426"/>
    <cellStyle name="Normal 205 2" xfId="4069"/>
    <cellStyle name="Normal 206" xfId="2427"/>
    <cellStyle name="Normal 206 2" xfId="4070"/>
    <cellStyle name="Normal 207" xfId="2428"/>
    <cellStyle name="Normal 207 2" xfId="4071"/>
    <cellStyle name="Normal 208" xfId="2429"/>
    <cellStyle name="Normal 208 2" xfId="2430"/>
    <cellStyle name="Normal 208 2 2" xfId="4401"/>
    <cellStyle name="Normal 208 3" xfId="4072"/>
    <cellStyle name="Normal 209" xfId="2431"/>
    <cellStyle name="Normal 209 2" xfId="2432"/>
    <cellStyle name="Normal 209 2 2" xfId="4402"/>
    <cellStyle name="Normal 209 3" xfId="4073"/>
    <cellStyle name="Normal 21" xfId="2433"/>
    <cellStyle name="Normal 21 2" xfId="4074"/>
    <cellStyle name="Normal 210" xfId="2434"/>
    <cellStyle name="Normal 210 2" xfId="4075"/>
    <cellStyle name="Normal 211" xfId="2435"/>
    <cellStyle name="Normal 211 2" xfId="2436"/>
    <cellStyle name="Normal 211 2 2" xfId="4077"/>
    <cellStyle name="Normal 211 3" xfId="2437"/>
    <cellStyle name="Normal 211 3 2" xfId="4403"/>
    <cellStyle name="Normal 211 4" xfId="4076"/>
    <cellStyle name="Normal 212" xfId="2438"/>
    <cellStyle name="Normal 212 2" xfId="2439"/>
    <cellStyle name="Normal 212 2 2" xfId="4079"/>
    <cellStyle name="Normal 212 3" xfId="2440"/>
    <cellStyle name="Normal 212 3 2" xfId="4404"/>
    <cellStyle name="Normal 212 4" xfId="4078"/>
    <cellStyle name="Normal 213" xfId="2441"/>
    <cellStyle name="Normal 213 2" xfId="2442"/>
    <cellStyle name="Normal 213 2 2" xfId="4081"/>
    <cellStyle name="Normal 213 3" xfId="2443"/>
    <cellStyle name="Normal 213 3 2" xfId="4405"/>
    <cellStyle name="Normal 213 4" xfId="4080"/>
    <cellStyle name="Normal 214" xfId="2444"/>
    <cellStyle name="Normal 214 2" xfId="2445"/>
    <cellStyle name="Normal 214 2 2" xfId="4083"/>
    <cellStyle name="Normal 214 3" xfId="2446"/>
    <cellStyle name="Normal 214 3 2" xfId="4406"/>
    <cellStyle name="Normal 214 4" xfId="4082"/>
    <cellStyle name="Normal 215" xfId="2447"/>
    <cellStyle name="Normal 215 2" xfId="2448"/>
    <cellStyle name="Normal 215 2 2" xfId="4085"/>
    <cellStyle name="Normal 215 3" xfId="2449"/>
    <cellStyle name="Normal 215 3 2" xfId="4407"/>
    <cellStyle name="Normal 215 4" xfId="4084"/>
    <cellStyle name="Normal 216" xfId="2450"/>
    <cellStyle name="Normal 216 2" xfId="2451"/>
    <cellStyle name="Normal 216 2 2" xfId="4408"/>
    <cellStyle name="Normal 216 3" xfId="4086"/>
    <cellStyle name="Normal 217" xfId="2452"/>
    <cellStyle name="Normal 217 2" xfId="2453"/>
    <cellStyle name="Normal 217 2 2" xfId="4409"/>
    <cellStyle name="Normal 217 3" xfId="4087"/>
    <cellStyle name="Normal 218" xfId="2454"/>
    <cellStyle name="Normal 218 2" xfId="2455"/>
    <cellStyle name="Normal 218 2 2" xfId="4410"/>
    <cellStyle name="Normal 218 3" xfId="4088"/>
    <cellStyle name="Normal 219" xfId="2456"/>
    <cellStyle name="Normal 219 2" xfId="2457"/>
    <cellStyle name="Normal 219 2 2" xfId="4411"/>
    <cellStyle name="Normal 219 3" xfId="4089"/>
    <cellStyle name="Normal 22" xfId="2458"/>
    <cellStyle name="Normal 22 2" xfId="4090"/>
    <cellStyle name="Normal 220" xfId="2459"/>
    <cellStyle name="Normal 220 2" xfId="4091"/>
    <cellStyle name="Normal 221" xfId="2460"/>
    <cellStyle name="Normal 221 2" xfId="2461"/>
    <cellStyle name="Normal 221 2 2" xfId="3820"/>
    <cellStyle name="Normal 221 2 3" xfId="5063"/>
    <cellStyle name="Normal 221 3" xfId="4092"/>
    <cellStyle name="Normal 222" xfId="2462"/>
    <cellStyle name="Normal 222 2" xfId="2463"/>
    <cellStyle name="Normal 222 2 2" xfId="3821"/>
    <cellStyle name="Normal 222 2 3" xfId="5077"/>
    <cellStyle name="Normal 222 3" xfId="4093"/>
    <cellStyle name="Normal 223" xfId="2464"/>
    <cellStyle name="Normal 223 2" xfId="4094"/>
    <cellStyle name="Normal 224" xfId="2465"/>
    <cellStyle name="Normal 224 2" xfId="3822"/>
    <cellStyle name="Normal 224 2 2" xfId="4412"/>
    <cellStyle name="Normal 224 3" xfId="3708"/>
    <cellStyle name="Normal 225" xfId="2466"/>
    <cellStyle name="Normal 225 2" xfId="3823"/>
    <cellStyle name="Normal 225 2 2" xfId="4413"/>
    <cellStyle name="Normal 225 3" xfId="3709"/>
    <cellStyle name="Normal 226" xfId="2467"/>
    <cellStyle name="Normal 226 2" xfId="3824"/>
    <cellStyle name="Normal 226 2 2" xfId="4414"/>
    <cellStyle name="Normal 226 3" xfId="3710"/>
    <cellStyle name="Normal 227" xfId="2468"/>
    <cellStyle name="Normal 227 2" xfId="3825"/>
    <cellStyle name="Normal 227 2 2" xfId="4415"/>
    <cellStyle name="Normal 227 3" xfId="3711"/>
    <cellStyle name="Normal 228" xfId="2469"/>
    <cellStyle name="Normal 228 2" xfId="3826"/>
    <cellStyle name="Normal 228 2 2" xfId="4416"/>
    <cellStyle name="Normal 228 3" xfId="3712"/>
    <cellStyle name="Normal 229" xfId="2470"/>
    <cellStyle name="Normal 229 2" xfId="3827"/>
    <cellStyle name="Normal 229 2 2" xfId="4417"/>
    <cellStyle name="Normal 229 3" xfId="3713"/>
    <cellStyle name="Normal 23" xfId="2471"/>
    <cellStyle name="Normal 23 2" xfId="4095"/>
    <cellStyle name="Normal 230" xfId="2472"/>
    <cellStyle name="Normal 230 2" xfId="4096"/>
    <cellStyle name="Normal 231" xfId="2473"/>
    <cellStyle name="Normal 231 2" xfId="4097"/>
    <cellStyle name="Normal 232" xfId="2474"/>
    <cellStyle name="Normal 232 2" xfId="3828"/>
    <cellStyle name="Normal 232 2 2" xfId="4418"/>
    <cellStyle name="Normal 233" xfId="2475"/>
    <cellStyle name="Normal 233 2" xfId="3829"/>
    <cellStyle name="Normal 233 2 2" xfId="4419"/>
    <cellStyle name="Normal 234" xfId="2476"/>
    <cellStyle name="Normal 234 2" xfId="3830"/>
    <cellStyle name="Normal 234 2 2" xfId="4420"/>
    <cellStyle name="Normal 235" xfId="2477"/>
    <cellStyle name="Normal 235 2" xfId="4421"/>
    <cellStyle name="Normal 236" xfId="2478"/>
    <cellStyle name="Normal 236 2" xfId="4422"/>
    <cellStyle name="Normal 237" xfId="2479"/>
    <cellStyle name="Normal 237 2" xfId="4423"/>
    <cellStyle name="Normal 238" xfId="2480"/>
    <cellStyle name="Normal 238 2" xfId="4424"/>
    <cellStyle name="Normal 239" xfId="2481"/>
    <cellStyle name="Normal 239 2" xfId="4425"/>
    <cellStyle name="Normal 24" xfId="2482"/>
    <cellStyle name="Normal 24 2" xfId="4098"/>
    <cellStyle name="Normal 240" xfId="2483"/>
    <cellStyle name="Normal 240 2" xfId="4426"/>
    <cellStyle name="Normal 241" xfId="2484"/>
    <cellStyle name="Normal 241 2" xfId="4427"/>
    <cellStyle name="Normal 242" xfId="2485"/>
    <cellStyle name="Normal 242 2" xfId="4428"/>
    <cellStyle name="Normal 243" xfId="2486"/>
    <cellStyle name="Normal 243 2" xfId="4429"/>
    <cellStyle name="Normal 244" xfId="2487"/>
    <cellStyle name="Normal 244 2" xfId="4430"/>
    <cellStyle name="Normal 245" xfId="2488"/>
    <cellStyle name="Normal 245 2" xfId="4431"/>
    <cellStyle name="Normal 246" xfId="2489"/>
    <cellStyle name="Normal 246 2" xfId="4432"/>
    <cellStyle name="Normal 247" xfId="2490"/>
    <cellStyle name="Normal 247 2" xfId="4433"/>
    <cellStyle name="Normal 248" xfId="2491"/>
    <cellStyle name="Normal 248 2" xfId="4434"/>
    <cellStyle name="Normal 249" xfId="2492"/>
    <cellStyle name="Normal 249 2" xfId="4435"/>
    <cellStyle name="Normal 25" xfId="2493"/>
    <cellStyle name="Normal 25 2" xfId="4099"/>
    <cellStyle name="Normal 250" xfId="2494"/>
    <cellStyle name="Normal 250 2" xfId="4436"/>
    <cellStyle name="Normal 251" xfId="2495"/>
    <cellStyle name="Normal 251 2" xfId="4437"/>
    <cellStyle name="Normal 252" xfId="2496"/>
    <cellStyle name="Normal 252 2" xfId="4438"/>
    <cellStyle name="Normal 253" xfId="2497"/>
    <cellStyle name="Normal 253 2" xfId="4439"/>
    <cellStyle name="Normal 254" xfId="2498"/>
    <cellStyle name="Normal 254 2" xfId="4440"/>
    <cellStyle name="Normal 255" xfId="2499"/>
    <cellStyle name="Normal 255 2" xfId="4441"/>
    <cellStyle name="Normal 256" xfId="2500"/>
    <cellStyle name="Normal 256 2" xfId="4442"/>
    <cellStyle name="Normal 257" xfId="2501"/>
    <cellStyle name="Normal 257 2" xfId="4443"/>
    <cellStyle name="Normal 258" xfId="2502"/>
    <cellStyle name="Normal 258 2" xfId="4444"/>
    <cellStyle name="Normal 259" xfId="2503"/>
    <cellStyle name="Normal 259 2" xfId="4445"/>
    <cellStyle name="Normal 26" xfId="2504"/>
    <cellStyle name="Normal 26 2" xfId="2505"/>
    <cellStyle name="Normal 26 2 2" xfId="2506"/>
    <cellStyle name="Normal 26 2 2 2" xfId="2507"/>
    <cellStyle name="Normal 26 2 2 2 2" xfId="5431"/>
    <cellStyle name="Normal 26 2 2 3" xfId="5008"/>
    <cellStyle name="Normal 26 2 3" xfId="2508"/>
    <cellStyle name="Normal 26 2 3 2" xfId="5276"/>
    <cellStyle name="Normal 26 2 4" xfId="4100"/>
    <cellStyle name="Normal 26 2 5" xfId="4853"/>
    <cellStyle name="Normal 26 3" xfId="2509"/>
    <cellStyle name="Normal 26 3 2" xfId="2510"/>
    <cellStyle name="Normal 26 3 2 2" xfId="2511"/>
    <cellStyle name="Normal 26 3 2 2 2" xfId="5432"/>
    <cellStyle name="Normal 26 3 2 3" xfId="5009"/>
    <cellStyle name="Normal 26 3 3" xfId="2512"/>
    <cellStyle name="Normal 26 3 3 2" xfId="5245"/>
    <cellStyle name="Normal 26 3 4" xfId="4819"/>
    <cellStyle name="Normal 26 4" xfId="2513"/>
    <cellStyle name="Normal 26 4 2" xfId="2514"/>
    <cellStyle name="Normal 26 4 2 2" xfId="5430"/>
    <cellStyle name="Normal 26 4 3" xfId="5007"/>
    <cellStyle name="Normal 26 5" xfId="2515"/>
    <cellStyle name="Normal 26 6" xfId="2516"/>
    <cellStyle name="Normal 26 6 2" xfId="5138"/>
    <cellStyle name="Normal 26 7" xfId="4687"/>
    <cellStyle name="Normal 260" xfId="2517"/>
    <cellStyle name="Normal 260 2" xfId="4446"/>
    <cellStyle name="Normal 261" xfId="2518"/>
    <cellStyle name="Normal 261 2" xfId="4447"/>
    <cellStyle name="Normal 262" xfId="2519"/>
    <cellStyle name="Normal 262 2" xfId="4448"/>
    <cellStyle name="Normal 263" xfId="2520"/>
    <cellStyle name="Normal 263 2" xfId="4449"/>
    <cellStyle name="Normal 264" xfId="2521"/>
    <cellStyle name="Normal 264 2" xfId="3831"/>
    <cellStyle name="Normal 264 3" xfId="5114"/>
    <cellStyle name="Normal 265" xfId="2522"/>
    <cellStyle name="Normal 265 2" xfId="4450"/>
    <cellStyle name="Normal 266" xfId="2523"/>
    <cellStyle name="Normal 266 2" xfId="4451"/>
    <cellStyle name="Normal 267" xfId="2524"/>
    <cellStyle name="Normal 267 2" xfId="4452"/>
    <cellStyle name="Normal 268" xfId="2525"/>
    <cellStyle name="Normal 268 2" xfId="4453"/>
    <cellStyle name="Normal 269" xfId="2526"/>
    <cellStyle name="Normal 269 2" xfId="4454"/>
    <cellStyle name="Normal 27" xfId="2527"/>
    <cellStyle name="Normal 27 2" xfId="2528"/>
    <cellStyle name="Normal 27 2 2" xfId="2529"/>
    <cellStyle name="Normal 27 2 2 2" xfId="2530"/>
    <cellStyle name="Normal 27 2 2 2 2" xfId="5434"/>
    <cellStyle name="Normal 27 2 2 3" xfId="5011"/>
    <cellStyle name="Normal 27 2 3" xfId="2531"/>
    <cellStyle name="Normal 27 2 3 2" xfId="5279"/>
    <cellStyle name="Normal 27 2 4" xfId="4101"/>
    <cellStyle name="Normal 27 2 5" xfId="4856"/>
    <cellStyle name="Normal 27 3" xfId="2532"/>
    <cellStyle name="Normal 27 4" xfId="2533"/>
    <cellStyle name="Normal 27 4 2" xfId="2534"/>
    <cellStyle name="Normal 27 4 2 2" xfId="5433"/>
    <cellStyle name="Normal 27 4 3" xfId="5010"/>
    <cellStyle name="Normal 27 5" xfId="2535"/>
    <cellStyle name="Normal 27 5 2" xfId="5141"/>
    <cellStyle name="Normal 27 6" xfId="4693"/>
    <cellStyle name="Normal 270" xfId="2536"/>
    <cellStyle name="Normal 270 2" xfId="4455"/>
    <cellStyle name="Normal 271" xfId="2537"/>
    <cellStyle name="Normal 271 2" xfId="4456"/>
    <cellStyle name="Normal 272" xfId="2538"/>
    <cellStyle name="Normal 272 2" xfId="4457"/>
    <cellStyle name="Normal 273" xfId="2539"/>
    <cellStyle name="Normal 273 2" xfId="4458"/>
    <cellStyle name="Normal 274" xfId="2540"/>
    <cellStyle name="Normal 274 2" xfId="4459"/>
    <cellStyle name="Normal 275" xfId="2541"/>
    <cellStyle name="Normal 275 2" xfId="4460"/>
    <cellStyle name="Normal 276" xfId="2542"/>
    <cellStyle name="Normal 276 2" xfId="4461"/>
    <cellStyle name="Normal 277" xfId="2543"/>
    <cellStyle name="Normal 277 2" xfId="4462"/>
    <cellStyle name="Normal 278" xfId="2544"/>
    <cellStyle name="Normal 278 2" xfId="4463"/>
    <cellStyle name="Normal 279" xfId="12"/>
    <cellStyle name="Normal 279 2" xfId="398"/>
    <cellStyle name="Normal 279 2 2" xfId="5486"/>
    <cellStyle name="Normal 28" xfId="2545"/>
    <cellStyle name="Normal 28 2" xfId="2546"/>
    <cellStyle name="Normal 28 2 2" xfId="4102"/>
    <cellStyle name="Normal 28 3" xfId="2547"/>
    <cellStyle name="Normal 280" xfId="2548"/>
    <cellStyle name="Normal 280 2" xfId="3873"/>
    <cellStyle name="Normal 281" xfId="2549"/>
    <cellStyle name="Normal 281 2" xfId="2550"/>
    <cellStyle name="Normal 281 3" xfId="3872"/>
    <cellStyle name="Normal 282" xfId="2551"/>
    <cellStyle name="Normal 282 2" xfId="2552"/>
    <cellStyle name="Normal 282 2 2" xfId="5134"/>
    <cellStyle name="Normal 282 3" xfId="3871"/>
    <cellStyle name="Normal 283" xfId="2553"/>
    <cellStyle name="Normal 283 2" xfId="3870"/>
    <cellStyle name="Normal 284" xfId="2554"/>
    <cellStyle name="Normal 284 2" xfId="3869"/>
    <cellStyle name="Normal 285" xfId="2555"/>
    <cellStyle name="Normal 285 2" xfId="3861"/>
    <cellStyle name="Normal 286" xfId="2556"/>
    <cellStyle name="Normal 286 2" xfId="3860"/>
    <cellStyle name="Normal 287" xfId="2557"/>
    <cellStyle name="Normal 287 2" xfId="3859"/>
    <cellStyle name="Normal 288" xfId="2558"/>
    <cellStyle name="Normal 288 2" xfId="3849"/>
    <cellStyle name="Normal 289" xfId="2559"/>
    <cellStyle name="Normal 289 2" xfId="3848"/>
    <cellStyle name="Normal 29" xfId="2560"/>
    <cellStyle name="Normal 29 2" xfId="2561"/>
    <cellStyle name="Normal 29 2 2" xfId="2562"/>
    <cellStyle name="Normal 29 2 2 2" xfId="5435"/>
    <cellStyle name="Normal 29 2 3" xfId="2563"/>
    <cellStyle name="Normal 29 2 4" xfId="4103"/>
    <cellStyle name="Normal 29 2 5" xfId="5012"/>
    <cellStyle name="Normal 29 3" xfId="2564"/>
    <cellStyle name="Normal 29 4" xfId="2565"/>
    <cellStyle name="Normal 29 4 2" xfId="5268"/>
    <cellStyle name="Normal 29 5" xfId="2566"/>
    <cellStyle name="Normal 29 6" xfId="4845"/>
    <cellStyle name="Normal 290" xfId="2567"/>
    <cellStyle name="Normal 290 2" xfId="4400"/>
    <cellStyle name="Normal 291" xfId="2568"/>
    <cellStyle name="Normal 291 2" xfId="4488"/>
    <cellStyle name="Normal 292" xfId="2569"/>
    <cellStyle name="Normal 292 2" xfId="3817"/>
    <cellStyle name="Normal 293" xfId="2570"/>
    <cellStyle name="Normal 293 2" xfId="3816"/>
    <cellStyle name="Normal 294" xfId="2571"/>
    <cellStyle name="Normal 294 2" xfId="3809"/>
    <cellStyle name="Normal 295" xfId="2572"/>
    <cellStyle name="Normal 295 2" xfId="3808"/>
    <cellStyle name="Normal 296" xfId="2573"/>
    <cellStyle name="Normal 296 2" xfId="3805"/>
    <cellStyle name="Normal 297" xfId="2574"/>
    <cellStyle name="Normal 297 2" xfId="3804"/>
    <cellStyle name="Normal 298" xfId="2575"/>
    <cellStyle name="Normal 298 2" xfId="3798"/>
    <cellStyle name="Normal 299" xfId="2576"/>
    <cellStyle name="Normal 299 2" xfId="4394"/>
    <cellStyle name="Normal 299 3" xfId="3791"/>
    <cellStyle name="Normal 3" xfId="69"/>
    <cellStyle name="Normal 3 2" xfId="306"/>
    <cellStyle name="Normal 3 2 2" xfId="307"/>
    <cellStyle name="Normal 3 2 2 2" xfId="308"/>
    <cellStyle name="Normal 3 2 2 2 2" xfId="451"/>
    <cellStyle name="Normal 3 2 2 2 2 2" xfId="539"/>
    <cellStyle name="Normal 3 2 2 2 2 2 2" xfId="793"/>
    <cellStyle name="Normal 3 2 2 2 2 3" xfId="705"/>
    <cellStyle name="Normal 3 2 2 2 3" xfId="538"/>
    <cellStyle name="Normal 3 2 2 2 3 2" xfId="792"/>
    <cellStyle name="Normal 3 2 2 2 4" xfId="643"/>
    <cellStyle name="Normal 3 2 2 2 5" xfId="5091"/>
    <cellStyle name="Normal 3 2 2 3" xfId="309"/>
    <cellStyle name="Normal 3 2 2 3 2" xfId="452"/>
    <cellStyle name="Normal 3 2 2 3 2 2" xfId="541"/>
    <cellStyle name="Normal 3 2 2 3 2 2 2" xfId="795"/>
    <cellStyle name="Normal 3 2 2 3 2 3" xfId="706"/>
    <cellStyle name="Normal 3 2 2 3 3" xfId="540"/>
    <cellStyle name="Normal 3 2 2 3 3 2" xfId="794"/>
    <cellStyle name="Normal 3 2 2 3 4" xfId="644"/>
    <cellStyle name="Normal 3 2 2 4" xfId="450"/>
    <cellStyle name="Normal 3 2 2 4 2" xfId="542"/>
    <cellStyle name="Normal 3 2 2 4 2 2" xfId="796"/>
    <cellStyle name="Normal 3 2 2 4 3" xfId="704"/>
    <cellStyle name="Normal 3 2 2 5" xfId="537"/>
    <cellStyle name="Normal 3 2 2 5 2" xfId="791"/>
    <cellStyle name="Normal 3 2 2 6" xfId="642"/>
    <cellStyle name="Normal 3 2 2 7" xfId="3716"/>
    <cellStyle name="Normal 3 2 2 8" xfId="4772"/>
    <cellStyle name="Normal 3 2 3" xfId="310"/>
    <cellStyle name="Normal 3 2 3 2" xfId="453"/>
    <cellStyle name="Normal 3 2 3 2 2" xfId="544"/>
    <cellStyle name="Normal 3 2 3 2 2 2" xfId="798"/>
    <cellStyle name="Normal 3 2 3 2 3" xfId="707"/>
    <cellStyle name="Normal 3 2 3 3" xfId="543"/>
    <cellStyle name="Normal 3 2 3 3 2" xfId="797"/>
    <cellStyle name="Normal 3 2 3 4" xfId="645"/>
    <cellStyle name="Normal 3 2 3 5" xfId="3717"/>
    <cellStyle name="Normal 3 2 4" xfId="311"/>
    <cellStyle name="Normal 3 2 4 2" xfId="454"/>
    <cellStyle name="Normal 3 2 4 2 2" xfId="546"/>
    <cellStyle name="Normal 3 2 4 2 2 2" xfId="800"/>
    <cellStyle name="Normal 3 2 4 2 3" xfId="708"/>
    <cellStyle name="Normal 3 2 4 3" xfId="545"/>
    <cellStyle name="Normal 3 2 4 3 2" xfId="799"/>
    <cellStyle name="Normal 3 2 4 4" xfId="646"/>
    <cellStyle name="Normal 3 2 4 5" xfId="3718"/>
    <cellStyle name="Normal 3 2 5" xfId="449"/>
    <cellStyle name="Normal 3 2 5 2" xfId="547"/>
    <cellStyle name="Normal 3 2 5 2 2" xfId="801"/>
    <cellStyle name="Normal 3 2 5 3" xfId="703"/>
    <cellStyle name="Normal 3 2 5 4" xfId="5101"/>
    <cellStyle name="Normal 3 2 6" xfId="536"/>
    <cellStyle name="Normal 3 2 6 2" xfId="790"/>
    <cellStyle name="Normal 3 2 7" xfId="641"/>
    <cellStyle name="Normal 3 2 8" xfId="3715"/>
    <cellStyle name="Normal 3 2 9" xfId="4722"/>
    <cellStyle name="Normal 3 3" xfId="312"/>
    <cellStyle name="Normal 3 3 2" xfId="313"/>
    <cellStyle name="Normal 3 3 2 2" xfId="2577"/>
    <cellStyle name="Normal 3 3 2 3" xfId="2578"/>
    <cellStyle name="Normal 3 3 2 3 2" xfId="3833"/>
    <cellStyle name="Normal 3 3 2 3 3" xfId="5071"/>
    <cellStyle name="Normal 3 3 3" xfId="314"/>
    <cellStyle name="Normal 3 3 3 2" xfId="455"/>
    <cellStyle name="Normal 3 3 3 2 2" xfId="549"/>
    <cellStyle name="Normal 3 3 3 2 2 2" xfId="803"/>
    <cellStyle name="Normal 3 3 3 2 3" xfId="709"/>
    <cellStyle name="Normal 3 3 3 2 4" xfId="4105"/>
    <cellStyle name="Normal 3 3 3 3" xfId="548"/>
    <cellStyle name="Normal 3 3 3 3 2" xfId="802"/>
    <cellStyle name="Normal 3 3 3 4" xfId="647"/>
    <cellStyle name="Normal 3 3 3 5" xfId="3719"/>
    <cellStyle name="Normal 3 3 4" xfId="315"/>
    <cellStyle name="Normal 3 3 4 2" xfId="456"/>
    <cellStyle name="Normal 3 3 4 2 2" xfId="551"/>
    <cellStyle name="Normal 3 3 4 2 2 2" xfId="805"/>
    <cellStyle name="Normal 3 3 4 2 3" xfId="710"/>
    <cellStyle name="Normal 3 3 4 3" xfId="550"/>
    <cellStyle name="Normal 3 3 4 3 2" xfId="804"/>
    <cellStyle name="Normal 3 3 4 4" xfId="648"/>
    <cellStyle name="Normal 3 3 4 5" xfId="3720"/>
    <cellStyle name="Normal 3 3 5" xfId="4104"/>
    <cellStyle name="Normal 3 4" xfId="316"/>
    <cellStyle name="Normal 3 4 2" xfId="317"/>
    <cellStyle name="Normal 3 4 2 2" xfId="3721"/>
    <cellStyle name="Normal 3 4 3" xfId="4106"/>
    <cellStyle name="Normal 3 4 4" xfId="5133"/>
    <cellStyle name="Normal 3 5" xfId="318"/>
    <cellStyle name="Normal 3 5 2" xfId="457"/>
    <cellStyle name="Normal 3 5 2 2" xfId="553"/>
    <cellStyle name="Normal 3 5 2 2 2" xfId="807"/>
    <cellStyle name="Normal 3 5 2 3" xfId="711"/>
    <cellStyle name="Normal 3 5 3" xfId="552"/>
    <cellStyle name="Normal 3 5 3 2" xfId="806"/>
    <cellStyle name="Normal 3 5 4" xfId="649"/>
    <cellStyle name="Normal 3 5 5" xfId="4519"/>
    <cellStyle name="Normal 3 6" xfId="4514"/>
    <cellStyle name="Normal 3 7" xfId="3714"/>
    <cellStyle name="Normal 3_710 CFS; full sustain + full expand (static-like)" xfId="2579"/>
    <cellStyle name="Normal 30" xfId="2580"/>
    <cellStyle name="Normal 30 2" xfId="2581"/>
    <cellStyle name="Normal 30 2 2" xfId="2582"/>
    <cellStyle name="Normal 30 2 2 2" xfId="5436"/>
    <cellStyle name="Normal 30 2 3" xfId="2583"/>
    <cellStyle name="Normal 30 2 4" xfId="4107"/>
    <cellStyle name="Normal 30 2 5" xfId="5013"/>
    <cellStyle name="Normal 30 3" xfId="2584"/>
    <cellStyle name="Normal 30 4" xfId="2585"/>
    <cellStyle name="Normal 30 4 2" xfId="5269"/>
    <cellStyle name="Normal 30 5" xfId="2586"/>
    <cellStyle name="Normal 30 6" xfId="4846"/>
    <cellStyle name="Normal 300" xfId="2587"/>
    <cellStyle name="Normal 300 2" xfId="3884"/>
    <cellStyle name="Normal 301" xfId="2588"/>
    <cellStyle name="Normal 301 2" xfId="3883"/>
    <cellStyle name="Normal 302" xfId="2589"/>
    <cellStyle name="Normal 302 2" xfId="3882"/>
    <cellStyle name="Normal 303" xfId="2590"/>
    <cellStyle name="Normal 303 2" xfId="3881"/>
    <cellStyle name="Normal 304" xfId="2591"/>
    <cellStyle name="Normal 304 2" xfId="3880"/>
    <cellStyle name="Normal 305" xfId="2592"/>
    <cellStyle name="Normal 305 2" xfId="3879"/>
    <cellStyle name="Normal 306" xfId="2593"/>
    <cellStyle name="Normal 306 2" xfId="3878"/>
    <cellStyle name="Normal 307" xfId="2594"/>
    <cellStyle name="Normal 307 2" xfId="3877"/>
    <cellStyle name="Normal 308" xfId="2595"/>
    <cellStyle name="Normal 308 2" xfId="3876"/>
    <cellStyle name="Normal 309" xfId="2596"/>
    <cellStyle name="Normal 309 2" xfId="4487"/>
    <cellStyle name="Normal 309 3" xfId="3875"/>
    <cellStyle name="Normal 31" xfId="2597"/>
    <cellStyle name="Normal 31 2" xfId="2598"/>
    <cellStyle name="Normal 31 2 2" xfId="2599"/>
    <cellStyle name="Normal 31 2 2 2" xfId="5437"/>
    <cellStyle name="Normal 31 2 3" xfId="4108"/>
    <cellStyle name="Normal 31 2 4" xfId="5014"/>
    <cellStyle name="Normal 31 3" xfId="2600"/>
    <cellStyle name="Normal 31 4" xfId="2601"/>
    <cellStyle name="Normal 31 4 2" xfId="5270"/>
    <cellStyle name="Normal 31 5" xfId="4847"/>
    <cellStyle name="Normal 310" xfId="13"/>
    <cellStyle name="Normal 310 2" xfId="399"/>
    <cellStyle name="Normal 311" xfId="14"/>
    <cellStyle name="Normal 311 2" xfId="400"/>
    <cellStyle name="Normal 312" xfId="15"/>
    <cellStyle name="Normal 312 2" xfId="401"/>
    <cellStyle name="Normal 313" xfId="16"/>
    <cellStyle name="Normal 313 2" xfId="402"/>
    <cellStyle name="Normal 314" xfId="17"/>
    <cellStyle name="Normal 314 2" xfId="403"/>
    <cellStyle name="Normal 315" xfId="18"/>
    <cellStyle name="Normal 315 2" xfId="404"/>
    <cellStyle name="Normal 316" xfId="19"/>
    <cellStyle name="Normal 316 2" xfId="405"/>
    <cellStyle name="Normal 317" xfId="20"/>
    <cellStyle name="Normal 317 2" xfId="406"/>
    <cellStyle name="Normal 318" xfId="21"/>
    <cellStyle name="Normal 318 2" xfId="407"/>
    <cellStyle name="Normal 319" xfId="22"/>
    <cellStyle name="Normal 319 2" xfId="408"/>
    <cellStyle name="Normal 32" xfId="2602"/>
    <cellStyle name="Normal 32 2" xfId="2603"/>
    <cellStyle name="Normal 32 2 2" xfId="2604"/>
    <cellStyle name="Normal 32 2 2 2" xfId="5438"/>
    <cellStyle name="Normal 32 2 3" xfId="2605"/>
    <cellStyle name="Normal 32 2 4" xfId="5015"/>
    <cellStyle name="Normal 32 3" xfId="2606"/>
    <cellStyle name="Normal 32 4" xfId="2607"/>
    <cellStyle name="Normal 32 4 2" xfId="5271"/>
    <cellStyle name="Normal 32 5" xfId="4848"/>
    <cellStyle name="Normal 320" xfId="23"/>
    <cellStyle name="Normal 320 2" xfId="409"/>
    <cellStyle name="Normal 321" xfId="24"/>
    <cellStyle name="Normal 321 2" xfId="410"/>
    <cellStyle name="Normal 322" xfId="25"/>
    <cellStyle name="Normal 322 2" xfId="411"/>
    <cellStyle name="Normal 323" xfId="26"/>
    <cellStyle name="Normal 323 2" xfId="412"/>
    <cellStyle name="Normal 324" xfId="2608"/>
    <cellStyle name="Normal 324 2" xfId="4511"/>
    <cellStyle name="Normal 324 3" xfId="3888"/>
    <cellStyle name="Normal 325" xfId="27"/>
    <cellStyle name="Normal 325 2" xfId="413"/>
    <cellStyle name="Normal 326" xfId="28"/>
    <cellStyle name="Normal 326 2" xfId="414"/>
    <cellStyle name="Normal 327" xfId="29"/>
    <cellStyle name="Normal 327 2" xfId="415"/>
    <cellStyle name="Normal 328" xfId="30"/>
    <cellStyle name="Normal 328 2" xfId="416"/>
    <cellStyle name="Normal 329" xfId="31"/>
    <cellStyle name="Normal 329 2" xfId="417"/>
    <cellStyle name="Normal 33" xfId="2609"/>
    <cellStyle name="Normal 33 2" xfId="2610"/>
    <cellStyle name="Normal 33 2 2" xfId="2611"/>
    <cellStyle name="Normal 33 3" xfId="2612"/>
    <cellStyle name="Normal 330" xfId="32"/>
    <cellStyle name="Normal 330 2" xfId="418"/>
    <cellStyle name="Normal 331" xfId="33"/>
    <cellStyle name="Normal 331 2" xfId="419"/>
    <cellStyle name="Normal 332" xfId="34"/>
    <cellStyle name="Normal 332 2" xfId="420"/>
    <cellStyle name="Normal 333" xfId="35"/>
    <cellStyle name="Normal 333 2" xfId="421"/>
    <cellStyle name="Normal 334" xfId="36"/>
    <cellStyle name="Normal 334 2" xfId="422"/>
    <cellStyle name="Normal 335" xfId="2613"/>
    <cellStyle name="Normal 335 2" xfId="4512"/>
    <cellStyle name="Normal 335 3" xfId="3889"/>
    <cellStyle name="Normal 336" xfId="37"/>
    <cellStyle name="Normal 336 2" xfId="423"/>
    <cellStyle name="Normal 337" xfId="38"/>
    <cellStyle name="Normal 337 2" xfId="424"/>
    <cellStyle name="Normal 338" xfId="39"/>
    <cellStyle name="Normal 338 2" xfId="425"/>
    <cellStyle name="Normal 339" xfId="40"/>
    <cellStyle name="Normal 339 2" xfId="426"/>
    <cellStyle name="Normal 34" xfId="2614"/>
    <cellStyle name="Normal 34 2" xfId="2615"/>
    <cellStyle name="Normal 34 2 2" xfId="2616"/>
    <cellStyle name="Normal 34 3" xfId="2617"/>
    <cellStyle name="Normal 340" xfId="41"/>
    <cellStyle name="Normal 340 2" xfId="427"/>
    <cellStyle name="Normal 341" xfId="42"/>
    <cellStyle name="Normal 341 2" xfId="428"/>
    <cellStyle name="Normal 342" xfId="2618"/>
    <cellStyle name="Normal 342 2" xfId="3890"/>
    <cellStyle name="Normal 343" xfId="43"/>
    <cellStyle name="Normal 343 2" xfId="429"/>
    <cellStyle name="Normal 344" xfId="2619"/>
    <cellStyle name="Normal 345" xfId="2620"/>
    <cellStyle name="Normal 345 2" xfId="4532"/>
    <cellStyle name="Normal 345 2 2" xfId="4583"/>
    <cellStyle name="Normal 346" xfId="2621"/>
    <cellStyle name="Normal 347" xfId="2622"/>
    <cellStyle name="Normal 347 2" xfId="4585"/>
    <cellStyle name="Normal 348" xfId="2623"/>
    <cellStyle name="Normal 349" xfId="2624"/>
    <cellStyle name="Normal 35" xfId="2625"/>
    <cellStyle name="Normal 35 2" xfId="2626"/>
    <cellStyle name="Normal 35 2 2" xfId="4109"/>
    <cellStyle name="Normal 35 2 3" xfId="5492"/>
    <cellStyle name="Normal 350" xfId="2627"/>
    <cellStyle name="Normal 351" xfId="2628"/>
    <cellStyle name="Normal 352" xfId="2629"/>
    <cellStyle name="Normal 353" xfId="2630"/>
    <cellStyle name="Normal 354" xfId="2631"/>
    <cellStyle name="Normal 355" xfId="2632"/>
    <cellStyle name="Normal 356" xfId="2633"/>
    <cellStyle name="Normal 357" xfId="2634"/>
    <cellStyle name="Normal 358" xfId="2635"/>
    <cellStyle name="Normal 359" xfId="2636"/>
    <cellStyle name="Normal 36" xfId="2637"/>
    <cellStyle name="Normal 36 2" xfId="2638"/>
    <cellStyle name="Normal 36 2 2" xfId="4110"/>
    <cellStyle name="Normal 36 2 3" xfId="5491"/>
    <cellStyle name="Normal 360" xfId="2639"/>
    <cellStyle name="Normal 361" xfId="2640"/>
    <cellStyle name="Normal 362" xfId="2641"/>
    <cellStyle name="Normal 363" xfId="2642"/>
    <cellStyle name="Normal 364" xfId="2643"/>
    <cellStyle name="Normal 365" xfId="2644"/>
    <cellStyle name="Normal 366" xfId="2645"/>
    <cellStyle name="Normal 367" xfId="2646"/>
    <cellStyle name="Normal 368" xfId="2647"/>
    <cellStyle name="Normal 369" xfId="2648"/>
    <cellStyle name="Normal 37" xfId="2649"/>
    <cellStyle name="Normal 37 2" xfId="2650"/>
    <cellStyle name="Normal 37 3" xfId="2651"/>
    <cellStyle name="Normal 37 3 2" xfId="5308"/>
    <cellStyle name="Normal 37 4" xfId="4885"/>
    <cellStyle name="Normal 370" xfId="2652"/>
    <cellStyle name="Normal 371" xfId="2653"/>
    <cellStyle name="Normal 372" xfId="2654"/>
    <cellStyle name="Normal 373" xfId="2655"/>
    <cellStyle name="Normal 374" xfId="2656"/>
    <cellStyle name="Normal 375" xfId="2657"/>
    <cellStyle name="Normal 376" xfId="2658"/>
    <cellStyle name="Normal 377" xfId="2659"/>
    <cellStyle name="Normal 378" xfId="2660"/>
    <cellStyle name="Normal 379" xfId="2661"/>
    <cellStyle name="Normal 38" xfId="2662"/>
    <cellStyle name="Normal 38 2" xfId="2663"/>
    <cellStyle name="Normal 38 2 2" xfId="4111"/>
    <cellStyle name="Normal 38 3" xfId="2664"/>
    <cellStyle name="Normal 38 4" xfId="2665"/>
    <cellStyle name="Normal 380" xfId="2666"/>
    <cellStyle name="Normal 381" xfId="2667"/>
    <cellStyle name="Normal 382" xfId="2668"/>
    <cellStyle name="Normal 383" xfId="2669"/>
    <cellStyle name="Normal 384" xfId="2670"/>
    <cellStyle name="Normal 385" xfId="2671"/>
    <cellStyle name="Normal 386" xfId="2672"/>
    <cellStyle name="Normal 387" xfId="2673"/>
    <cellStyle name="Normal 388" xfId="2674"/>
    <cellStyle name="Normal 389" xfId="3571"/>
    <cellStyle name="Normal 389 2" xfId="5538"/>
    <cellStyle name="Normal 389 3" xfId="5539"/>
    <cellStyle name="Normal 39" xfId="2675"/>
    <cellStyle name="Normal 39 2" xfId="2676"/>
    <cellStyle name="Normal 39 3" xfId="2677"/>
    <cellStyle name="Normal 39 4" xfId="5540"/>
    <cellStyle name="Normal 39 4 2" xfId="5541"/>
    <cellStyle name="Normal 39 4 3" xfId="5542"/>
    <cellStyle name="Normal 390" xfId="3874"/>
    <cellStyle name="Normal 390 2" xfId="5543"/>
    <cellStyle name="Normal 390 3" xfId="5544"/>
    <cellStyle name="Normal 391" xfId="4586"/>
    <cellStyle name="Normal 391 2" xfId="5545"/>
    <cellStyle name="Normal 391 3" xfId="5546"/>
    <cellStyle name="Normal 392" xfId="3832"/>
    <cellStyle name="Normal 392 2" xfId="5547"/>
    <cellStyle name="Normal 392 3" xfId="5548"/>
    <cellStyle name="Normal 393" xfId="4591"/>
    <cellStyle name="Normal 393 2" xfId="5549"/>
    <cellStyle name="Normal 393 3" xfId="5550"/>
    <cellStyle name="Normal 394" xfId="4592"/>
    <cellStyle name="Normal 394 2" xfId="4594"/>
    <cellStyle name="Normal 394 3" xfId="4600"/>
    <cellStyle name="Normal 395" xfId="4638"/>
    <cellStyle name="Normal 395 2" xfId="5551"/>
    <cellStyle name="Normal 396" xfId="5493"/>
    <cellStyle name="Normal 397" xfId="5509"/>
    <cellStyle name="Normal 398" xfId="5520"/>
    <cellStyle name="Normal 399" xfId="5521"/>
    <cellStyle name="Normal 4" xfId="72"/>
    <cellStyle name="Normal 4 10" xfId="2678"/>
    <cellStyle name="Normal 4 10 2" xfId="4465"/>
    <cellStyle name="Normal 4 11" xfId="2679"/>
    <cellStyle name="Normal 4 11 2" xfId="4464"/>
    <cellStyle name="Normal 4 11 3" xfId="3834"/>
    <cellStyle name="Normal 4 2" xfId="319"/>
    <cellStyle name="Normal 4 2 10" xfId="2680"/>
    <cellStyle name="Normal 4 2 10 2" xfId="5136"/>
    <cellStyle name="Normal 4 2 11" xfId="3722"/>
    <cellStyle name="Normal 4 2 12" xfId="4685"/>
    <cellStyle name="Normal 4 2 2" xfId="320"/>
    <cellStyle name="Normal 4 2 2 2" xfId="321"/>
    <cellStyle name="Normal 4 2 2 2 2" xfId="460"/>
    <cellStyle name="Normal 4 2 2 2 2 2" xfId="557"/>
    <cellStyle name="Normal 4 2 2 2 2 2 2" xfId="811"/>
    <cellStyle name="Normal 4 2 2 2 2 3" xfId="714"/>
    <cellStyle name="Normal 4 2 2 2 2 4" xfId="3835"/>
    <cellStyle name="Normal 4 2 2 2 3" xfId="556"/>
    <cellStyle name="Normal 4 2 2 2 3 2" xfId="810"/>
    <cellStyle name="Normal 4 2 2 2 3 3" xfId="3836"/>
    <cellStyle name="Normal 4 2 2 2 3 4" xfId="5093"/>
    <cellStyle name="Normal 4 2 2 2 4" xfId="652"/>
    <cellStyle name="Normal 4 2 2 2 4 2" xfId="5113"/>
    <cellStyle name="Normal 4 2 2 2 5" xfId="3724"/>
    <cellStyle name="Normal 4 2 2 2 6" xfId="4842"/>
    <cellStyle name="Normal 4 2 2 3" xfId="459"/>
    <cellStyle name="Normal 4 2 2 3 2" xfId="558"/>
    <cellStyle name="Normal 4 2 2 3 2 2" xfId="812"/>
    <cellStyle name="Normal 4 2 2 3 2 2 2" xfId="5440"/>
    <cellStyle name="Normal 4 2 2 3 2 3" xfId="5017"/>
    <cellStyle name="Normal 4 2 2 3 3" xfId="713"/>
    <cellStyle name="Normal 4 2 2 3 3 2" xfId="5083"/>
    <cellStyle name="Normal 4 2 2 3 4" xfId="2681"/>
    <cellStyle name="Normal 4 2 2 3 4 2" xfId="5240"/>
    <cellStyle name="Normal 4 2 2 3 5" xfId="3725"/>
    <cellStyle name="Normal 4 2 2 3 6" xfId="4814"/>
    <cellStyle name="Normal 4 2 2 4" xfId="555"/>
    <cellStyle name="Normal 4 2 2 4 2" xfId="809"/>
    <cellStyle name="Normal 4 2 2 4 2 2" xfId="2682"/>
    <cellStyle name="Normal 4 2 2 4 2 2 2" xfId="5441"/>
    <cellStyle name="Normal 4 2 2 4 2 3" xfId="5018"/>
    <cellStyle name="Normal 4 2 2 4 3" xfId="2683"/>
    <cellStyle name="Normal 4 2 2 4 3 2" xfId="5200"/>
    <cellStyle name="Normal 4 2 2 4 4" xfId="3837"/>
    <cellStyle name="Normal 4 2 2 4 5" xfId="4773"/>
    <cellStyle name="Normal 4 2 2 5" xfId="651"/>
    <cellStyle name="Normal 4 2 2 5 2" xfId="5126"/>
    <cellStyle name="Normal 4 2 2 6" xfId="3723"/>
    <cellStyle name="Normal 4 2 2 7" xfId="4723"/>
    <cellStyle name="Normal 4 2 3" xfId="322"/>
    <cellStyle name="Normal 4 2 3 2" xfId="461"/>
    <cellStyle name="Normal 4 2 3 2 2" xfId="560"/>
    <cellStyle name="Normal 4 2 3 2 2 2" xfId="814"/>
    <cellStyle name="Normal 4 2 3 2 2 2 2" xfId="5443"/>
    <cellStyle name="Normal 4 2 3 2 2 3" xfId="5020"/>
    <cellStyle name="Normal 4 2 3 2 3" xfId="715"/>
    <cellStyle name="Normal 4 2 3 2 3 2" xfId="5094"/>
    <cellStyle name="Normal 4 2 3 2 4" xfId="2684"/>
    <cellStyle name="Normal 4 2 3 2 4 2" xfId="5280"/>
    <cellStyle name="Normal 4 2 3 2 5" xfId="3838"/>
    <cellStyle name="Normal 4 2 3 2 6" xfId="4857"/>
    <cellStyle name="Normal 4 2 3 3" xfId="559"/>
    <cellStyle name="Normal 4 2 3 3 2" xfId="813"/>
    <cellStyle name="Normal 4 2 3 3 2 2" xfId="2685"/>
    <cellStyle name="Normal 4 2 3 3 2 2 2" xfId="5444"/>
    <cellStyle name="Normal 4 2 3 3 2 3" xfId="5021"/>
    <cellStyle name="Normal 4 2 3 3 3" xfId="2686"/>
    <cellStyle name="Normal 4 2 3 3 3 2" xfId="5265"/>
    <cellStyle name="Normal 4 2 3 3 4" xfId="3839"/>
    <cellStyle name="Normal 4 2 3 3 5" xfId="4841"/>
    <cellStyle name="Normal 4 2 3 4" xfId="653"/>
    <cellStyle name="Normal 4 2 3 4 2" xfId="2687"/>
    <cellStyle name="Normal 4 2 3 4 2 2" xfId="5442"/>
    <cellStyle name="Normal 4 2 3 4 3" xfId="5019"/>
    <cellStyle name="Normal 4 2 3 5" xfId="2688"/>
    <cellStyle name="Normal 4 2 3 6" xfId="2689"/>
    <cellStyle name="Normal 4 2 3 6 2" xfId="5142"/>
    <cellStyle name="Normal 4 2 3 7" xfId="4694"/>
    <cellStyle name="Normal 4 2 4" xfId="458"/>
    <cellStyle name="Normal 4 2 4 2" xfId="561"/>
    <cellStyle name="Normal 4 2 4 2 2" xfId="815"/>
    <cellStyle name="Normal 4 2 4 2 2 2" xfId="5445"/>
    <cellStyle name="Normal 4 2 4 2 3" xfId="5022"/>
    <cellStyle name="Normal 4 2 4 3" xfId="712"/>
    <cellStyle name="Normal 4 2 4 3 2" xfId="5090"/>
    <cellStyle name="Normal 4 2 4 4" xfId="2690"/>
    <cellStyle name="Normal 4 2 4 4 2" xfId="5208"/>
    <cellStyle name="Normal 4 2 4 5" xfId="3726"/>
    <cellStyle name="Normal 4 2 4 6" xfId="4782"/>
    <cellStyle name="Normal 4 2 5" xfId="554"/>
    <cellStyle name="Normal 4 2 5 2" xfId="808"/>
    <cellStyle name="Normal 4 2 5 2 2" xfId="2691"/>
    <cellStyle name="Normal 4 2 5 2 2 2" xfId="5446"/>
    <cellStyle name="Normal 4 2 5 2 3" xfId="5023"/>
    <cellStyle name="Normal 4 2 5 3" xfId="2692"/>
    <cellStyle name="Normal 4 2 5 3 2" xfId="5272"/>
    <cellStyle name="Normal 4 2 5 4" xfId="3840"/>
    <cellStyle name="Normal 4 2 5 5" xfId="4849"/>
    <cellStyle name="Normal 4 2 6" xfId="650"/>
    <cellStyle name="Normal 4 2 6 2" xfId="2693"/>
    <cellStyle name="Normal 4 2 6 2 2" xfId="2694"/>
    <cellStyle name="Normal 4 2 6 2 2 2" xfId="5447"/>
    <cellStyle name="Normal 4 2 6 2 3" xfId="5024"/>
    <cellStyle name="Normal 4 2 6 3" xfId="2695"/>
    <cellStyle name="Normal 4 2 6 3 2" xfId="5274"/>
    <cellStyle name="Normal 4 2 6 4" xfId="4851"/>
    <cellStyle name="Normal 4 2 7" xfId="2696"/>
    <cellStyle name="Normal 4 2 7 2" xfId="2697"/>
    <cellStyle name="Normal 4 2 7 2 2" xfId="2698"/>
    <cellStyle name="Normal 4 2 7 2 2 2" xfId="5448"/>
    <cellStyle name="Normal 4 2 7 2 3" xfId="5025"/>
    <cellStyle name="Normal 4 2 7 3" xfId="2699"/>
    <cellStyle name="Normal 4 2 7 3 2" xfId="5168"/>
    <cellStyle name="Normal 4 2 7 4" xfId="4738"/>
    <cellStyle name="Normal 4 2 8" xfId="2700"/>
    <cellStyle name="Normal 4 2 8 2" xfId="2701"/>
    <cellStyle name="Normal 4 2 8 2 2" xfId="5439"/>
    <cellStyle name="Normal 4 2 8 3" xfId="5016"/>
    <cellStyle name="Normal 4 2 9" xfId="2702"/>
    <cellStyle name="Normal 4 2_Federal Interest Calculation Su" xfId="2703"/>
    <cellStyle name="Normal 4 3" xfId="323"/>
    <cellStyle name="Normal 4 3 2" xfId="324"/>
    <cellStyle name="Normal 4 3 2 2" xfId="463"/>
    <cellStyle name="Normal 4 3 2 2 2" xfId="564"/>
    <cellStyle name="Normal 4 3 2 2 2 2" xfId="818"/>
    <cellStyle name="Normal 4 3 2 2 3" xfId="717"/>
    <cellStyle name="Normal 4 3 2 2 4" xfId="3841"/>
    <cellStyle name="Normal 4 3 2 3" xfId="563"/>
    <cellStyle name="Normal 4 3 2 3 2" xfId="817"/>
    <cellStyle name="Normal 4 3 2 3 3" xfId="3842"/>
    <cellStyle name="Normal 4 3 2 3 4" xfId="5116"/>
    <cellStyle name="Normal 4 3 2 4" xfId="655"/>
    <cellStyle name="Normal 4 3 2 5" xfId="3728"/>
    <cellStyle name="Normal 4 3 3" xfId="462"/>
    <cellStyle name="Normal 4 3 3 2" xfId="565"/>
    <cellStyle name="Normal 4 3 3 2 2" xfId="819"/>
    <cellStyle name="Normal 4 3 3 3" xfId="716"/>
    <cellStyle name="Normal 4 3 3 4" xfId="3729"/>
    <cellStyle name="Normal 4 3 4" xfId="562"/>
    <cellStyle name="Normal 4 3 4 2" xfId="816"/>
    <cellStyle name="Normal 4 3 4 3" xfId="3730"/>
    <cellStyle name="Normal 4 3 5" xfId="654"/>
    <cellStyle name="Normal 4 3 5 2" xfId="3843"/>
    <cellStyle name="Normal 4 3 5 3" xfId="5108"/>
    <cellStyle name="Normal 4 3 6" xfId="2704"/>
    <cellStyle name="Normal 4 3 6 2" xfId="3844"/>
    <cellStyle name="Normal 4 3 6 3" xfId="5074"/>
    <cellStyle name="Normal 4 3 7" xfId="2705"/>
    <cellStyle name="Normal 4 3 8" xfId="3727"/>
    <cellStyle name="Normal 4 3 9" xfId="5058"/>
    <cellStyle name="Normal 4 4" xfId="325"/>
    <cellStyle name="Normal 4 4 2" xfId="464"/>
    <cellStyle name="Normal 4 4 2 2" xfId="567"/>
    <cellStyle name="Normal 4 4 2 2 2" xfId="821"/>
    <cellStyle name="Normal 4 4 2 2 3" xfId="3845"/>
    <cellStyle name="Normal 4 4 2 3" xfId="718"/>
    <cellStyle name="Normal 4 4 2 3 2" xfId="3846"/>
    <cellStyle name="Normal 4 4 2 3 3" xfId="5112"/>
    <cellStyle name="Normal 4 4 2 4" xfId="3732"/>
    <cellStyle name="Normal 4 4 3" xfId="566"/>
    <cellStyle name="Normal 4 4 3 2" xfId="820"/>
    <cellStyle name="Normal 4 4 3 2 2" xfId="4112"/>
    <cellStyle name="Normal 4 4 3 3" xfId="3733"/>
    <cellStyle name="Normal 4 4 4" xfId="656"/>
    <cellStyle name="Normal 4 4 4 2" xfId="3847"/>
    <cellStyle name="Normal 4 4 4 3" xfId="5098"/>
    <cellStyle name="Normal 4 4 5" xfId="3731"/>
    <cellStyle name="Normal 4 5" xfId="2706"/>
    <cellStyle name="Normal 4 5 2" xfId="4113"/>
    <cellStyle name="Normal 4 6" xfId="2707"/>
    <cellStyle name="Normal 4 6 2" xfId="3734"/>
    <cellStyle name="Normal 4 6 3" xfId="4114"/>
    <cellStyle name="Normal 4 7" xfId="2708"/>
    <cellStyle name="Normal 4 7 2" xfId="3735"/>
    <cellStyle name="Normal 4 7 3" xfId="5122"/>
    <cellStyle name="Normal 4 8" xfId="2709"/>
    <cellStyle name="Normal 4 8 2" xfId="4466"/>
    <cellStyle name="Normal 4 9" xfId="2710"/>
    <cellStyle name="Normal 4 9 2" xfId="4467"/>
    <cellStyle name="Normal 4_710 CFS; full sustain + full expand (static-like)" xfId="2711"/>
    <cellStyle name="Normal 40" xfId="2712"/>
    <cellStyle name="Normal 40 2" xfId="2713"/>
    <cellStyle name="Normal 400" xfId="5530"/>
    <cellStyle name="Normal 401" xfId="5531"/>
    <cellStyle name="Normal 402" xfId="5552"/>
    <cellStyle name="Normal 41" xfId="2714"/>
    <cellStyle name="Normal 41 2" xfId="2715"/>
    <cellStyle name="Normal 42" xfId="2716"/>
    <cellStyle name="Normal 42 2" xfId="2717"/>
    <cellStyle name="Normal 43" xfId="2718"/>
    <cellStyle name="Normal 43 2" xfId="2719"/>
    <cellStyle name="Normal 44" xfId="2720"/>
    <cellStyle name="Normal 44 2" xfId="2721"/>
    <cellStyle name="Normal 45" xfId="2722"/>
    <cellStyle name="Normal 45 2" xfId="2723"/>
    <cellStyle name="Normal 46" xfId="2724"/>
    <cellStyle name="Normal 46 2" xfId="2725"/>
    <cellStyle name="Normal 47" xfId="2726"/>
    <cellStyle name="Normal 47 2" xfId="2727"/>
    <cellStyle name="Normal 47 3" xfId="2728"/>
    <cellStyle name="Normal 47 3 2" xfId="5482"/>
    <cellStyle name="Normal 47 4" xfId="5060"/>
    <cellStyle name="Normal 48" xfId="2729"/>
    <cellStyle name="Normal 48 2" xfId="2730"/>
    <cellStyle name="Normal 49" xfId="2731"/>
    <cellStyle name="Normal 49 2" xfId="2732"/>
    <cellStyle name="Normal 49 3" xfId="2733"/>
    <cellStyle name="Normal 49 3 2" xfId="2734"/>
    <cellStyle name="Normal 49 3 3" xfId="2735"/>
    <cellStyle name="Normal 49 3 3 2" xfId="3850"/>
    <cellStyle name="Normal 49 3 3 3" xfId="5104"/>
    <cellStyle name="Normal 49 4" xfId="2736"/>
    <cellStyle name="Normal 49 5" xfId="3736"/>
    <cellStyle name="Normal 5" xfId="326"/>
    <cellStyle name="Normal 5 2" xfId="327"/>
    <cellStyle name="Normal 5 2 10" xfId="2737"/>
    <cellStyle name="Normal 5 2 10 2" xfId="5137"/>
    <cellStyle name="Normal 5 2 11" xfId="4686"/>
    <cellStyle name="Normal 5 2 12" xfId="5518"/>
    <cellStyle name="Normal 5 2 13" xfId="5527"/>
    <cellStyle name="Normal 5 2 2" xfId="328"/>
    <cellStyle name="Normal 5 2 2 2" xfId="465"/>
    <cellStyle name="Normal 5 2 2 2 2" xfId="569"/>
    <cellStyle name="Normal 5 2 2 2 2 2" xfId="823"/>
    <cellStyle name="Normal 5 2 2 2 2 2 2" xfId="5451"/>
    <cellStyle name="Normal 5 2 2 2 2 3" xfId="5028"/>
    <cellStyle name="Normal 5 2 2 2 3" xfId="719"/>
    <cellStyle name="Normal 5 2 2 2 3 2" xfId="5241"/>
    <cellStyle name="Normal 5 2 2 2 4" xfId="3851"/>
    <cellStyle name="Normal 5 2 2 2 5" xfId="4815"/>
    <cellStyle name="Normal 5 2 2 3" xfId="568"/>
    <cellStyle name="Normal 5 2 2 3 2" xfId="822"/>
    <cellStyle name="Normal 5 2 2 3 2 2" xfId="2738"/>
    <cellStyle name="Normal 5 2 2 3 2 2 2" xfId="5452"/>
    <cellStyle name="Normal 5 2 2 3 2 3" xfId="5029"/>
    <cellStyle name="Normal 5 2 2 3 3" xfId="2739"/>
    <cellStyle name="Normal 5 2 2 3 3 2" xfId="5281"/>
    <cellStyle name="Normal 5 2 2 3 4" xfId="4117"/>
    <cellStyle name="Normal 5 2 2 3 5" xfId="4858"/>
    <cellStyle name="Normal 5 2 2 4" xfId="657"/>
    <cellStyle name="Normal 5 2 2 4 2" xfId="2740"/>
    <cellStyle name="Normal 5 2 2 4 2 2" xfId="2741"/>
    <cellStyle name="Normal 5 2 2 4 2 2 2" xfId="5453"/>
    <cellStyle name="Normal 5 2 2 4 2 3" xfId="5030"/>
    <cellStyle name="Normal 5 2 2 4 3" xfId="2742"/>
    <cellStyle name="Normal 5 2 2 4 3 2" xfId="5201"/>
    <cellStyle name="Normal 5 2 2 4 4" xfId="4774"/>
    <cellStyle name="Normal 5 2 2 5" xfId="2743"/>
    <cellStyle name="Normal 5 2 2 5 2" xfId="2744"/>
    <cellStyle name="Normal 5 2 2 5 2 2" xfId="5450"/>
    <cellStyle name="Normal 5 2 2 5 3" xfId="5027"/>
    <cellStyle name="Normal 5 2 2 6" xfId="2745"/>
    <cellStyle name="Normal 5 2 2 7" xfId="2746"/>
    <cellStyle name="Normal 5 2 2 7 2" xfId="5143"/>
    <cellStyle name="Normal 5 2 2 8" xfId="3737"/>
    <cellStyle name="Normal 5 2 2 9" xfId="4695"/>
    <cellStyle name="Normal 5 2 3" xfId="329"/>
    <cellStyle name="Normal 5 2 3 2" xfId="466"/>
    <cellStyle name="Normal 5 2 3 2 2" xfId="571"/>
    <cellStyle name="Normal 5 2 3 2 2 2" xfId="825"/>
    <cellStyle name="Normal 5 2 3 2 2 2 2" xfId="5455"/>
    <cellStyle name="Normal 5 2 3 2 2 3" xfId="5032"/>
    <cellStyle name="Normal 5 2 3 2 3" xfId="720"/>
    <cellStyle name="Normal 5 2 3 2 3 2" xfId="5302"/>
    <cellStyle name="Normal 5 2 3 2 4" xfId="4879"/>
    <cellStyle name="Normal 5 2 3 3" xfId="570"/>
    <cellStyle name="Normal 5 2 3 3 2" xfId="824"/>
    <cellStyle name="Normal 5 2 3 3 2 2" xfId="2747"/>
    <cellStyle name="Normal 5 2 3 3 2 2 2" xfId="5456"/>
    <cellStyle name="Normal 5 2 3 3 2 3" xfId="5033"/>
    <cellStyle name="Normal 5 2 3 3 3" xfId="2748"/>
    <cellStyle name="Normal 5 2 3 3 3 2" xfId="5266"/>
    <cellStyle name="Normal 5 2 3 3 4" xfId="4843"/>
    <cellStyle name="Normal 5 2 3 4" xfId="658"/>
    <cellStyle name="Normal 5 2 3 4 2" xfId="2749"/>
    <cellStyle name="Normal 5 2 3 4 2 2" xfId="5454"/>
    <cellStyle name="Normal 5 2 3 4 3" xfId="5031"/>
    <cellStyle name="Normal 5 2 3 5" xfId="2750"/>
    <cellStyle name="Normal 5 2 3 5 2" xfId="5164"/>
    <cellStyle name="Normal 5 2 3 6" xfId="3852"/>
    <cellStyle name="Normal 5 2 3 7" xfId="4732"/>
    <cellStyle name="Normal 5 2 4" xfId="2751"/>
    <cellStyle name="Normal 5 2 4 2" xfId="2752"/>
    <cellStyle name="Normal 5 2 4 2 2" xfId="2753"/>
    <cellStyle name="Normal 5 2 4 2 2 2" xfId="5457"/>
    <cellStyle name="Normal 5 2 4 2 3" xfId="5034"/>
    <cellStyle name="Normal 5 2 4 3" xfId="2754"/>
    <cellStyle name="Normal 5 2 4 3 2" xfId="5209"/>
    <cellStyle name="Normal 5 2 4 4" xfId="4783"/>
    <cellStyle name="Normal 5 2 5" xfId="2755"/>
    <cellStyle name="Normal 5 2 5 2" xfId="2756"/>
    <cellStyle name="Normal 5 2 5 2 2" xfId="2757"/>
    <cellStyle name="Normal 5 2 5 2 2 2" xfId="5458"/>
    <cellStyle name="Normal 5 2 5 2 3" xfId="5035"/>
    <cellStyle name="Normal 5 2 5 3" xfId="2758"/>
    <cellStyle name="Normal 5 2 5 3 2" xfId="5273"/>
    <cellStyle name="Normal 5 2 5 4" xfId="4850"/>
    <cellStyle name="Normal 5 2 6" xfId="2759"/>
    <cellStyle name="Normal 5 2 6 2" xfId="2760"/>
    <cellStyle name="Normal 5 2 6 2 2" xfId="2761"/>
    <cellStyle name="Normal 5 2 6 2 2 2" xfId="5459"/>
    <cellStyle name="Normal 5 2 6 2 3" xfId="5036"/>
    <cellStyle name="Normal 5 2 6 3" xfId="2762"/>
    <cellStyle name="Normal 5 2 6 3 2" xfId="5275"/>
    <cellStyle name="Normal 5 2 6 4" xfId="4852"/>
    <cellStyle name="Normal 5 2 7" xfId="2763"/>
    <cellStyle name="Normal 5 2 7 2" xfId="2764"/>
    <cellStyle name="Normal 5 2 7 2 2" xfId="2765"/>
    <cellStyle name="Normal 5 2 7 2 2 2" xfId="5460"/>
    <cellStyle name="Normal 5 2 7 2 3" xfId="5037"/>
    <cellStyle name="Normal 5 2 7 3" xfId="2766"/>
    <cellStyle name="Normal 5 2 7 3 2" xfId="5169"/>
    <cellStyle name="Normal 5 2 7 4" xfId="4739"/>
    <cellStyle name="Normal 5 2 8" xfId="2767"/>
    <cellStyle name="Normal 5 2 8 2" xfId="2768"/>
    <cellStyle name="Normal 5 2 8 2 2" xfId="5449"/>
    <cellStyle name="Normal 5 2 8 3" xfId="5026"/>
    <cellStyle name="Normal 5 2 9" xfId="2769"/>
    <cellStyle name="Normal 5 3" xfId="330"/>
    <cellStyle name="Normal 5 3 2" xfId="467"/>
    <cellStyle name="Normal 5 3 2 2" xfId="573"/>
    <cellStyle name="Normal 5 3 2 2 2" xfId="827"/>
    <cellStyle name="Normal 5 3 2 3" xfId="721"/>
    <cellStyle name="Normal 5 3 2 4" xfId="4118"/>
    <cellStyle name="Normal 5 3 3" xfId="572"/>
    <cellStyle name="Normal 5 3 3 2" xfId="826"/>
    <cellStyle name="Normal 5 3 4" xfId="659"/>
    <cellStyle name="Normal 5 3 5" xfId="3738"/>
    <cellStyle name="Normal 5 4" xfId="331"/>
    <cellStyle name="Normal 5 4 2" xfId="2770"/>
    <cellStyle name="Normal 5 4 2 2" xfId="5129"/>
    <cellStyle name="Normal 5 4 3" xfId="3739"/>
    <cellStyle name="Normal 5 4 4" xfId="5079"/>
    <cellStyle name="Normal 5 5" xfId="332"/>
    <cellStyle name="Normal 5 5 2" xfId="468"/>
    <cellStyle name="Normal 5 5 2 2" xfId="575"/>
    <cellStyle name="Normal 5 5 2 2 2" xfId="829"/>
    <cellStyle name="Normal 5 5 2 3" xfId="722"/>
    <cellStyle name="Normal 5 5 3" xfId="574"/>
    <cellStyle name="Normal 5 5 3 2" xfId="828"/>
    <cellStyle name="Normal 5 5 4" xfId="660"/>
    <cellStyle name="Normal 5 5 5" xfId="4116"/>
    <cellStyle name="Normal 5 6" xfId="333"/>
    <cellStyle name="Normal 5 6 2" xfId="469"/>
    <cellStyle name="Normal 5 6 2 2" xfId="577"/>
    <cellStyle name="Normal 5 6 2 2 2" xfId="831"/>
    <cellStyle name="Normal 5 6 2 3" xfId="723"/>
    <cellStyle name="Normal 5 6 3" xfId="576"/>
    <cellStyle name="Normal 5 6 3 2" xfId="830"/>
    <cellStyle name="Normal 5 6 4" xfId="661"/>
    <cellStyle name="Normal 5 7" xfId="620"/>
    <cellStyle name="Normal 5 8" xfId="613"/>
    <cellStyle name="Normal 5 9" xfId="4680"/>
    <cellStyle name="Normal 50" xfId="2771"/>
    <cellStyle name="Normal 50 2" xfId="2772"/>
    <cellStyle name="Normal 50 2 2" xfId="4119"/>
    <cellStyle name="Normal 50 3" xfId="2773"/>
    <cellStyle name="Normal 50 3 2" xfId="4120"/>
    <cellStyle name="Normal 50 4" xfId="2774"/>
    <cellStyle name="Normal 51" xfId="2775"/>
    <cellStyle name="Normal 51 2" xfId="2776"/>
    <cellStyle name="Normal 51 2 2" xfId="4122"/>
    <cellStyle name="Normal 51 3" xfId="2777"/>
    <cellStyle name="Normal 51 3 2" xfId="3741"/>
    <cellStyle name="Normal 51 4" xfId="2778"/>
    <cellStyle name="Normal 51 4 2" xfId="4121"/>
    <cellStyle name="Normal 52" xfId="2779"/>
    <cellStyle name="Normal 52 2" xfId="2780"/>
    <cellStyle name="Normal 52 2 2" xfId="4124"/>
    <cellStyle name="Normal 52 3" xfId="2781"/>
    <cellStyle name="Normal 52 3 2" xfId="3742"/>
    <cellStyle name="Normal 52 4" xfId="2782"/>
    <cellStyle name="Normal 52 4 2" xfId="4123"/>
    <cellStyle name="Normal 53" xfId="2783"/>
    <cellStyle name="Normal 53 2" xfId="2784"/>
    <cellStyle name="Normal 53 2 2" xfId="4125"/>
    <cellStyle name="Normal 53 3" xfId="2785"/>
    <cellStyle name="Normal 53 4" xfId="2786"/>
    <cellStyle name="Normal 54" xfId="2787"/>
    <cellStyle name="Normal 54 2" xfId="2788"/>
    <cellStyle name="Normal 54 3" xfId="2789"/>
    <cellStyle name="Normal 55" xfId="2790"/>
    <cellStyle name="Normal 55 2" xfId="2791"/>
    <cellStyle name="Normal 55 2 2" xfId="4126"/>
    <cellStyle name="Normal 55 3" xfId="2792"/>
    <cellStyle name="Normal 55 4" xfId="2793"/>
    <cellStyle name="Normal 56" xfId="2794"/>
    <cellStyle name="Normal 56 2" xfId="2795"/>
    <cellStyle name="Normal 56 3" xfId="2796"/>
    <cellStyle name="Normal 57" xfId="2797"/>
    <cellStyle name="Normal 57 2" xfId="2798"/>
    <cellStyle name="Normal 58" xfId="2799"/>
    <cellStyle name="Normal 58 2" xfId="4127"/>
    <cellStyle name="Normal 59" xfId="2800"/>
    <cellStyle name="Normal 59 2" xfId="4128"/>
    <cellStyle name="Normal 6" xfId="334"/>
    <cellStyle name="Normal 6 2" xfId="335"/>
    <cellStyle name="Normal 6 2 2" xfId="336"/>
    <cellStyle name="Normal 6 2 2 2" xfId="470"/>
    <cellStyle name="Normal 6 2 2 2 2" xfId="579"/>
    <cellStyle name="Normal 6 2 2 2 2 2" xfId="833"/>
    <cellStyle name="Normal 6 2 2 2 3" xfId="724"/>
    <cellStyle name="Normal 6 2 2 2 4" xfId="5088"/>
    <cellStyle name="Normal 6 2 2 3" xfId="578"/>
    <cellStyle name="Normal 6 2 2 3 2" xfId="832"/>
    <cellStyle name="Normal 6 2 2 4" xfId="662"/>
    <cellStyle name="Normal 6 2 2 5" xfId="3853"/>
    <cellStyle name="Normal 6 2 2 6" xfId="5095"/>
    <cellStyle name="Normal 6 2 3" xfId="2801"/>
    <cellStyle name="Normal 6 2 3 2" xfId="3854"/>
    <cellStyle name="Normal 6 2 3 3" xfId="5125"/>
    <cellStyle name="Normal 6 2 4" xfId="2802"/>
    <cellStyle name="Normal 6 2 5" xfId="4724"/>
    <cellStyle name="Normal 6 3" xfId="337"/>
    <cellStyle name="Normal 6 3 2" xfId="471"/>
    <cellStyle name="Normal 6 3 2 2" xfId="581"/>
    <cellStyle name="Normal 6 3 2 2 2" xfId="835"/>
    <cellStyle name="Normal 6 3 2 3" xfId="725"/>
    <cellStyle name="Normal 6 3 2 4" xfId="4129"/>
    <cellStyle name="Normal 6 3 3" xfId="580"/>
    <cellStyle name="Normal 6 3 3 2" xfId="834"/>
    <cellStyle name="Normal 6 3 4" xfId="663"/>
    <cellStyle name="Normal 6 3 5" xfId="3743"/>
    <cellStyle name="Normal 6 3 6" xfId="5080"/>
    <cellStyle name="Normal 6 4" xfId="2803"/>
    <cellStyle name="Normal 6 4 2" xfId="3744"/>
    <cellStyle name="Normal 6 4 3" xfId="5073"/>
    <cellStyle name="Normal 6 5" xfId="2804"/>
    <cellStyle name="Normal 6 6" xfId="2805"/>
    <cellStyle name="Normal 6 7" xfId="4682"/>
    <cellStyle name="Normal 60" xfId="2806"/>
    <cellStyle name="Normal 60 2" xfId="2807"/>
    <cellStyle name="Normal 60 2 2" xfId="4131"/>
    <cellStyle name="Normal 60 3" xfId="4130"/>
    <cellStyle name="Normal 61" xfId="2808"/>
    <cellStyle name="Normal 61 2" xfId="4132"/>
    <cellStyle name="Normal 62" xfId="2809"/>
    <cellStyle name="Normal 62 2" xfId="4133"/>
    <cellStyle name="Normal 63" xfId="2810"/>
    <cellStyle name="Normal 63 2" xfId="4134"/>
    <cellStyle name="Normal 64" xfId="2811"/>
    <cellStyle name="Normal 64 2" xfId="4135"/>
    <cellStyle name="Normal 65" xfId="2812"/>
    <cellStyle name="Normal 65 2" xfId="4136"/>
    <cellStyle name="Normal 66" xfId="2813"/>
    <cellStyle name="Normal 66 2" xfId="4137"/>
    <cellStyle name="Normal 67" xfId="2814"/>
    <cellStyle name="Normal 67 2" xfId="4138"/>
    <cellStyle name="Normal 68" xfId="2815"/>
    <cellStyle name="Normal 68 2" xfId="4139"/>
    <cellStyle name="Normal 69" xfId="2816"/>
    <cellStyle name="Normal 69 2" xfId="4140"/>
    <cellStyle name="Normal 7" xfId="338"/>
    <cellStyle name="Normal 7 2" xfId="339"/>
    <cellStyle name="Normal 7 2 2" xfId="473"/>
    <cellStyle name="Normal 7 2 2 2" xfId="584"/>
    <cellStyle name="Normal 7 2 2 2 2" xfId="838"/>
    <cellStyle name="Normal 7 2 2 3" xfId="727"/>
    <cellStyle name="Normal 7 2 2 4" xfId="3855"/>
    <cellStyle name="Normal 7 2 3" xfId="583"/>
    <cellStyle name="Normal 7 2 3 2" xfId="837"/>
    <cellStyle name="Normal 7 2 3 3" xfId="3856"/>
    <cellStyle name="Normal 7 2 3 4" xfId="5070"/>
    <cellStyle name="Normal 7 2 4" xfId="665"/>
    <cellStyle name="Normal 7 2 4 2" xfId="5092"/>
    <cellStyle name="Normal 7 2 5" xfId="3745"/>
    <cellStyle name="Normal 7 2 6" xfId="4725"/>
    <cellStyle name="Normal 7 3" xfId="340"/>
    <cellStyle name="Normal 7 3 2" xfId="2817"/>
    <cellStyle name="Normal 7 3 2 2" xfId="2818"/>
    <cellStyle name="Normal 7 3 2 2 2" xfId="2819"/>
    <cellStyle name="Normal 7 3 2 2 2 2" xfId="2820"/>
    <cellStyle name="Normal 7 3 2 2 2 2 2" xfId="5462"/>
    <cellStyle name="Normal 7 3 2 2 2 3" xfId="5039"/>
    <cellStyle name="Normal 7 3 2 2 3" xfId="2821"/>
    <cellStyle name="Normal 7 3 2 2 3 2" xfId="5243"/>
    <cellStyle name="Normal 7 3 2 2 4" xfId="4817"/>
    <cellStyle name="Normal 7 3 2 3" xfId="2822"/>
    <cellStyle name="Normal 7 3 2 3 2" xfId="2823"/>
    <cellStyle name="Normal 7 3 2 3 2 2" xfId="5461"/>
    <cellStyle name="Normal 7 3 2 3 3" xfId="5038"/>
    <cellStyle name="Normal 7 3 2 4" xfId="2824"/>
    <cellStyle name="Normal 7 3 2 4 2" xfId="5203"/>
    <cellStyle name="Normal 7 3 2 5" xfId="4142"/>
    <cellStyle name="Normal 7 3 2 6" xfId="4776"/>
    <cellStyle name="Normal 7 3 3" xfId="2825"/>
    <cellStyle name="Normal 7 3 3 2" xfId="2826"/>
    <cellStyle name="Normal 7 3 3 2 2" xfId="2827"/>
    <cellStyle name="Normal 7 3 3 2 2 2" xfId="5463"/>
    <cellStyle name="Normal 7 3 3 2 3" xfId="5040"/>
    <cellStyle name="Normal 7 3 3 3" xfId="2828"/>
    <cellStyle name="Normal 7 3 3 3 2" xfId="5207"/>
    <cellStyle name="Normal 7 3 3 4" xfId="4781"/>
    <cellStyle name="Normal 7 3 4" xfId="2829"/>
    <cellStyle name="Normal 7 3 5" xfId="2830"/>
    <cellStyle name="Normal 7 3 5 2" xfId="2831"/>
    <cellStyle name="Normal 7 3 5 2 2" xfId="2832"/>
    <cellStyle name="Normal 7 3 5 2 2 2" xfId="5464"/>
    <cellStyle name="Normal 7 3 5 2 3" xfId="5041"/>
    <cellStyle name="Normal 7 3 5 3" xfId="2833"/>
    <cellStyle name="Normal 7 3 5 3 2" xfId="5167"/>
    <cellStyle name="Normal 7 3 5 4" xfId="4736"/>
    <cellStyle name="Normal 7 4" xfId="472"/>
    <cellStyle name="Normal 7 4 2" xfId="585"/>
    <cellStyle name="Normal 7 4 2 2" xfId="839"/>
    <cellStyle name="Normal 7 4 2 2 2" xfId="2834"/>
    <cellStyle name="Normal 7 4 2 2 2 2" xfId="5466"/>
    <cellStyle name="Normal 7 4 2 2 3" xfId="5043"/>
    <cellStyle name="Normal 7 4 2 3" xfId="2835"/>
    <cellStyle name="Normal 7 4 2 3 2" xfId="5242"/>
    <cellStyle name="Normal 7 4 2 4" xfId="4816"/>
    <cellStyle name="Normal 7 4 3" xfId="726"/>
    <cellStyle name="Normal 7 4 3 2" xfId="2836"/>
    <cellStyle name="Normal 7 4 3 2 2" xfId="5465"/>
    <cellStyle name="Normal 7 4 3 3" xfId="5042"/>
    <cellStyle name="Normal 7 4 4" xfId="2837"/>
    <cellStyle name="Normal 7 4 4 2" xfId="5202"/>
    <cellStyle name="Normal 7 4 5" xfId="2838"/>
    <cellStyle name="Normal 7 4 6" xfId="3746"/>
    <cellStyle name="Normal 7 4 7" xfId="4775"/>
    <cellStyle name="Normal 7 5" xfId="582"/>
    <cellStyle name="Normal 7 5 2" xfId="836"/>
    <cellStyle name="Normal 7 5 2 2" xfId="2839"/>
    <cellStyle name="Normal 7 5 2 2 2" xfId="5467"/>
    <cellStyle name="Normal 7 5 2 3" xfId="5044"/>
    <cellStyle name="Normal 7 5 3" xfId="2840"/>
    <cellStyle name="Normal 7 5 3 2" xfId="5206"/>
    <cellStyle name="Normal 7 5 4" xfId="4141"/>
    <cellStyle name="Normal 7 5 5" xfId="4780"/>
    <cellStyle name="Normal 7 6" xfId="664"/>
    <cellStyle name="Normal 7 6 2" xfId="2841"/>
    <cellStyle name="Normal 7 6 2 2" xfId="2842"/>
    <cellStyle name="Normal 7 6 2 2 2" xfId="5468"/>
    <cellStyle name="Normal 7 6 2 3" xfId="5045"/>
    <cellStyle name="Normal 7 6 3" xfId="2843"/>
    <cellStyle name="Normal 7 6 3 2" xfId="5166"/>
    <cellStyle name="Normal 7 6 4" xfId="4735"/>
    <cellStyle name="Normal 70" xfId="2844"/>
    <cellStyle name="Normal 70 2" xfId="4143"/>
    <cellStyle name="Normal 71" xfId="2845"/>
    <cellStyle name="Normal 71 2" xfId="4144"/>
    <cellStyle name="Normal 72" xfId="2846"/>
    <cellStyle name="Normal 72 2" xfId="4145"/>
    <cellStyle name="Normal 73" xfId="2847"/>
    <cellStyle name="Normal 73 2" xfId="2848"/>
    <cellStyle name="Normal 73 2 2" xfId="4147"/>
    <cellStyle name="Normal 73 3" xfId="4146"/>
    <cellStyle name="Normal 74" xfId="2849"/>
    <cellStyle name="Normal 74 2" xfId="2850"/>
    <cellStyle name="Normal 74 2 2" xfId="4149"/>
    <cellStyle name="Normal 74 3" xfId="4148"/>
    <cellStyle name="Normal 75" xfId="2851"/>
    <cellStyle name="Normal 75 2" xfId="2852"/>
    <cellStyle name="Normal 75 2 2" xfId="4151"/>
    <cellStyle name="Normal 75 3" xfId="2853"/>
    <cellStyle name="Normal 75 3 2" xfId="4152"/>
    <cellStyle name="Normal 75 4" xfId="4150"/>
    <cellStyle name="Normal 76" xfId="2854"/>
    <cellStyle name="Normal 76 2" xfId="2855"/>
    <cellStyle name="Normal 76 2 2" xfId="4154"/>
    <cellStyle name="Normal 76 3" xfId="2856"/>
    <cellStyle name="Normal 76 3 2" xfId="4155"/>
    <cellStyle name="Normal 76 4" xfId="4153"/>
    <cellStyle name="Normal 77" xfId="2857"/>
    <cellStyle name="Normal 77 2" xfId="2858"/>
    <cellStyle name="Normal 77 2 2" xfId="4157"/>
    <cellStyle name="Normal 77 3" xfId="2859"/>
    <cellStyle name="Normal 77 3 2" xfId="4158"/>
    <cellStyle name="Normal 77 4" xfId="4156"/>
    <cellStyle name="Normal 78" xfId="2860"/>
    <cellStyle name="Normal 78 2" xfId="2861"/>
    <cellStyle name="Normal 78 2 2" xfId="4160"/>
    <cellStyle name="Normal 78 3" xfId="4159"/>
    <cellStyle name="Normal 79" xfId="2862"/>
    <cellStyle name="Normal 79 2" xfId="4161"/>
    <cellStyle name="Normal 8" xfId="341"/>
    <cellStyle name="Normal 8 2" xfId="342"/>
    <cellStyle name="Normal 8 2 2" xfId="2863"/>
    <cellStyle name="Normal 8 2 2 2" xfId="2864"/>
    <cellStyle name="Normal 8 2 3" xfId="2865"/>
    <cellStyle name="Normal 8 2 3 2" xfId="3857"/>
    <cellStyle name="Normal 8 2 3 3" xfId="5089"/>
    <cellStyle name="Normal 8 2 4" xfId="2866"/>
    <cellStyle name="Normal 8 3" xfId="2867"/>
    <cellStyle name="Normal 8 3 10" xfId="4726"/>
    <cellStyle name="Normal 8 3 2" xfId="2868"/>
    <cellStyle name="Normal 8 3 2 2" xfId="2869"/>
    <cellStyle name="Normal 8 3 2 2 2" xfId="2870"/>
    <cellStyle name="Normal 8 3 2 2 2 2" xfId="2871"/>
    <cellStyle name="Normal 8 3 2 2 2 2 2" xfId="5471"/>
    <cellStyle name="Normal 8 3 2 2 2 3" xfId="5048"/>
    <cellStyle name="Normal 8 3 2 2 3" xfId="2872"/>
    <cellStyle name="Normal 8 3 2 2 3 2" xfId="5244"/>
    <cellStyle name="Normal 8 3 2 2 4" xfId="4818"/>
    <cellStyle name="Normal 8 3 2 3" xfId="2873"/>
    <cellStyle name="Normal 8 3 2 3 2" xfId="2874"/>
    <cellStyle name="Normal 8 3 2 3 2 2" xfId="5470"/>
    <cellStyle name="Normal 8 3 2 3 3" xfId="5047"/>
    <cellStyle name="Normal 8 3 2 4" xfId="2875"/>
    <cellStyle name="Normal 8 3 2 4 2" xfId="5204"/>
    <cellStyle name="Normal 8 3 2 5" xfId="4162"/>
    <cellStyle name="Normal 8 3 2 6" xfId="4777"/>
    <cellStyle name="Normal 8 3 3" xfId="2876"/>
    <cellStyle name="Normal 8 3 3 2" xfId="2877"/>
    <cellStyle name="Normal 8 3 3 2 2" xfId="2878"/>
    <cellStyle name="Normal 8 3 3 2 2 2" xfId="5472"/>
    <cellStyle name="Normal 8 3 3 2 3" xfId="5049"/>
    <cellStyle name="Normal 8 3 3 3" xfId="2879"/>
    <cellStyle name="Normal 8 3 3 3 2" xfId="5267"/>
    <cellStyle name="Normal 8 3 3 4" xfId="4844"/>
    <cellStyle name="Normal 8 3 4" xfId="2880"/>
    <cellStyle name="Normal 8 3 4 2" xfId="2881"/>
    <cellStyle name="Normal 8 3 4 2 2" xfId="2882"/>
    <cellStyle name="Normal 8 3 4 2 2 2" xfId="5473"/>
    <cellStyle name="Normal 8 3 4 2 3" xfId="5050"/>
    <cellStyle name="Normal 8 3 4 3" xfId="2883"/>
    <cellStyle name="Normal 8 3 4 3 2" xfId="5224"/>
    <cellStyle name="Normal 8 3 4 4" xfId="4798"/>
    <cellStyle name="Normal 8 3 5" xfId="2884"/>
    <cellStyle name="Normal 8 3 5 2" xfId="2885"/>
    <cellStyle name="Normal 8 3 5 2 2" xfId="2886"/>
    <cellStyle name="Normal 8 3 5 2 2 2" xfId="5474"/>
    <cellStyle name="Normal 8 3 5 2 3" xfId="5051"/>
    <cellStyle name="Normal 8 3 5 3" xfId="2887"/>
    <cellStyle name="Normal 8 3 5 3 2" xfId="5301"/>
    <cellStyle name="Normal 8 3 5 4" xfId="4878"/>
    <cellStyle name="Normal 8 3 6" xfId="2888"/>
    <cellStyle name="Normal 8 3 6 2" xfId="2889"/>
    <cellStyle name="Normal 8 3 6 2 2" xfId="2890"/>
    <cellStyle name="Normal 8 3 6 2 2 2" xfId="5475"/>
    <cellStyle name="Normal 8 3 6 2 3" xfId="5052"/>
    <cellStyle name="Normal 8 3 6 3" xfId="2891"/>
    <cellStyle name="Normal 8 3 6 3 2" xfId="5184"/>
    <cellStyle name="Normal 8 3 6 4" xfId="4755"/>
    <cellStyle name="Normal 8 3 7" xfId="2892"/>
    <cellStyle name="Normal 8 3 7 2" xfId="2893"/>
    <cellStyle name="Normal 8 3 7 2 2" xfId="5469"/>
    <cellStyle name="Normal 8 3 7 3" xfId="5046"/>
    <cellStyle name="Normal 8 3 8" xfId="2894"/>
    <cellStyle name="Normal 8 3 9" xfId="2895"/>
    <cellStyle name="Normal 8 3 9 2" xfId="5163"/>
    <cellStyle name="Normal 8 4" xfId="2896"/>
    <cellStyle name="Normal 8 4 2" xfId="2897"/>
    <cellStyle name="Normal 8 4 3" xfId="2898"/>
    <cellStyle name="Normal 8 4 3 2" xfId="5072"/>
    <cellStyle name="Normal 8 4 4" xfId="3747"/>
    <cellStyle name="Normal 8 5" xfId="2899"/>
    <cellStyle name="Normal 80" xfId="2900"/>
    <cellStyle name="Normal 80 2" xfId="4163"/>
    <cellStyle name="Normal 81" xfId="2901"/>
    <cellStyle name="Normal 81 2" xfId="4164"/>
    <cellStyle name="Normal 82" xfId="2902"/>
    <cellStyle name="Normal 82 2" xfId="4165"/>
    <cellStyle name="Normal 83" xfId="2903"/>
    <cellStyle name="Normal 83 2" xfId="4166"/>
    <cellStyle name="Normal 84" xfId="2904"/>
    <cellStyle name="Normal 84 2" xfId="4167"/>
    <cellStyle name="Normal 85" xfId="2905"/>
    <cellStyle name="Normal 85 2" xfId="4168"/>
    <cellStyle name="Normal 86" xfId="2906"/>
    <cellStyle name="Normal 86 2" xfId="4169"/>
    <cellStyle name="Normal 87" xfId="2907"/>
    <cellStyle name="Normal 87 2" xfId="4170"/>
    <cellStyle name="Normal 88" xfId="2908"/>
    <cellStyle name="Normal 88 2" xfId="4171"/>
    <cellStyle name="Normal 89" xfId="2909"/>
    <cellStyle name="Normal 89 2" xfId="4172"/>
    <cellStyle name="Normal 9" xfId="343"/>
    <cellStyle name="Normal 9 2" xfId="344"/>
    <cellStyle name="Normal 9 2 2" xfId="474"/>
    <cellStyle name="Normal 9 2 2 2" xfId="587"/>
    <cellStyle name="Normal 9 2 2 2 2" xfId="841"/>
    <cellStyle name="Normal 9 2 2 3" xfId="728"/>
    <cellStyle name="Normal 9 2 2 4" xfId="4174"/>
    <cellStyle name="Normal 9 2 2 5" xfId="4728"/>
    <cellStyle name="Normal 9 2 3" xfId="586"/>
    <cellStyle name="Normal 9 2 3 2" xfId="840"/>
    <cellStyle name="Normal 9 2 3 3" xfId="5096"/>
    <cellStyle name="Normal 9 2 4" xfId="666"/>
    <cellStyle name="Normal 9 2 4 2" xfId="5107"/>
    <cellStyle name="Normal 9 2 5" xfId="3748"/>
    <cellStyle name="Normal 9 2 6" xfId="4727"/>
    <cellStyle name="Normal 9 3" xfId="2910"/>
    <cellStyle name="Normal 9 3 2" xfId="2911"/>
    <cellStyle name="Normal 9 3 2 2" xfId="2912"/>
    <cellStyle name="Normal 9 3 3" xfId="2913"/>
    <cellStyle name="Normal 9 3 4" xfId="2914"/>
    <cellStyle name="Normal 9 3 5" xfId="2915"/>
    <cellStyle name="Normal 9 3 5 2" xfId="5117"/>
    <cellStyle name="Normal 9 3 6" xfId="3749"/>
    <cellStyle name="Normal 9 4" xfId="2916"/>
    <cellStyle name="Normal 9 4 2" xfId="2917"/>
    <cellStyle name="Normal 9 4 3" xfId="4173"/>
    <cellStyle name="Normal 9 5" xfId="2918"/>
    <cellStyle name="Normal 9 6" xfId="2919"/>
    <cellStyle name="Normal 9 6 2" xfId="2920"/>
    <cellStyle name="Normal 9 6 2 2" xfId="2921"/>
    <cellStyle name="Normal 9 6 2 2 2" xfId="5476"/>
    <cellStyle name="Normal 9 6 2 3" xfId="5053"/>
    <cellStyle name="Normal 9 6 3" xfId="2922"/>
    <cellStyle name="Normal 9 6 3 2" xfId="5307"/>
    <cellStyle name="Normal 9 6 4" xfId="4884"/>
    <cellStyle name="Normal 9 7" xfId="2923"/>
    <cellStyle name="Normal 90" xfId="2924"/>
    <cellStyle name="Normal 90 2" xfId="4175"/>
    <cellStyle name="Normal 91" xfId="2925"/>
    <cellStyle name="Normal 91 2" xfId="4176"/>
    <cellStyle name="Normal 92" xfId="2926"/>
    <cellStyle name="Normal 92 2" xfId="4177"/>
    <cellStyle name="Normal 93" xfId="2927"/>
    <cellStyle name="Normal 93 2" xfId="4178"/>
    <cellStyle name="Normal 94" xfId="2928"/>
    <cellStyle name="Normal 94 2" xfId="4179"/>
    <cellStyle name="Normal 95" xfId="2929"/>
    <cellStyle name="Normal 95 2" xfId="4180"/>
    <cellStyle name="Normal 96" xfId="2930"/>
    <cellStyle name="Normal 96 2" xfId="4181"/>
    <cellStyle name="Normal 97" xfId="2931"/>
    <cellStyle name="Normal 97 2" xfId="4182"/>
    <cellStyle name="Normal 98" xfId="2932"/>
    <cellStyle name="Normal 98 2" xfId="4183"/>
    <cellStyle name="Normal 99" xfId="2933"/>
    <cellStyle name="Normal 99 2" xfId="4184"/>
    <cellStyle name="Normal_Book11" xfId="44"/>
    <cellStyle name="Normal_Book13" xfId="45"/>
    <cellStyle name="Normal_Book14" xfId="46"/>
    <cellStyle name="Normal_Book16" xfId="47"/>
    <cellStyle name="Normal_Book16 2" xfId="4596"/>
    <cellStyle name="Normal_Book3 2" xfId="48"/>
    <cellStyle name="Normal_Book4" xfId="49"/>
    <cellStyle name="Normal_CRDTPCT" xfId="50"/>
    <cellStyle name="Normal_RATECOST" xfId="51"/>
    <cellStyle name="Normal_RATECOST 2" xfId="4597"/>
    <cellStyle name="Normal_Table 1" xfId="52"/>
    <cellStyle name="Normal_Table 1 2" xfId="53"/>
    <cellStyle name="Normal_Table 1 4" xfId="54"/>
    <cellStyle name="Normal_Table 2a" xfId="55"/>
    <cellStyle name="Normal_Table 2a 3" xfId="56"/>
    <cellStyle name="Normal_Table 3" xfId="57"/>
    <cellStyle name="Normal_Table 3 3 2" xfId="4598"/>
    <cellStyle name="Normal_Table 3 4" xfId="58"/>
    <cellStyle name="Normal_TIE_RATE" xfId="59"/>
    <cellStyle name="Normal_TRDS96" xfId="60"/>
    <cellStyle name="Normal_TRDS96 2" xfId="4599"/>
    <cellStyle name="Note 10" xfId="2934"/>
    <cellStyle name="Note 10 2" xfId="2935"/>
    <cellStyle name="Note 10 2 2" xfId="2936"/>
    <cellStyle name="Note 10 3" xfId="2937"/>
    <cellStyle name="Note 10 4" xfId="2938"/>
    <cellStyle name="Note 10 5" xfId="2939"/>
    <cellStyle name="Note 11" xfId="2940"/>
    <cellStyle name="Note 11 2" xfId="2941"/>
    <cellStyle name="Note 11 2 2" xfId="2942"/>
    <cellStyle name="Note 11 3" xfId="2943"/>
    <cellStyle name="Note 12" xfId="2944"/>
    <cellStyle name="Note 13" xfId="2945"/>
    <cellStyle name="Note 13 2" xfId="2946"/>
    <cellStyle name="Note 13 2 2" xfId="5494"/>
    <cellStyle name="Note 14" xfId="5488"/>
    <cellStyle name="Note 2" xfId="345"/>
    <cellStyle name="Note 2 2" xfId="346"/>
    <cellStyle name="Note 2 2 2" xfId="2947"/>
    <cellStyle name="Note 2 3" xfId="347"/>
    <cellStyle name="Note 2 3 2" xfId="2948"/>
    <cellStyle name="Note 2 3 2 2" xfId="4186"/>
    <cellStyle name="Note 2 3 3" xfId="2949"/>
    <cellStyle name="Note 2 4" xfId="2950"/>
    <cellStyle name="Note 2 4 2" xfId="4187"/>
    <cellStyle name="Note 2 5" xfId="2951"/>
    <cellStyle name="Note 2 5 2" xfId="4185"/>
    <cellStyle name="Note 2_I_Secondary" xfId="2952"/>
    <cellStyle name="Note 3" xfId="348"/>
    <cellStyle name="Note 3 2" xfId="2953"/>
    <cellStyle name="Note 3 2 2" xfId="2954"/>
    <cellStyle name="Note 3 2 3" xfId="2955"/>
    <cellStyle name="Note 3 2 4" xfId="2956"/>
    <cellStyle name="Note 3 3" xfId="4188"/>
    <cellStyle name="Note 4" xfId="349"/>
    <cellStyle name="Note 4 2" xfId="350"/>
    <cellStyle name="Note 4 2 2" xfId="476"/>
    <cellStyle name="Note 4 2 2 2" xfId="590"/>
    <cellStyle name="Note 4 2 2 2 2" xfId="844"/>
    <cellStyle name="Note 4 2 2 3" xfId="730"/>
    <cellStyle name="Note 4 2 3" xfId="589"/>
    <cellStyle name="Note 4 2 3 2" xfId="843"/>
    <cellStyle name="Note 4 2 4" xfId="668"/>
    <cellStyle name="Note 4 2 5" xfId="4468"/>
    <cellStyle name="Note 4 3" xfId="475"/>
    <cellStyle name="Note 4 3 2" xfId="591"/>
    <cellStyle name="Note 4 3 2 2" xfId="845"/>
    <cellStyle name="Note 4 3 3" xfId="729"/>
    <cellStyle name="Note 4 4" xfId="588"/>
    <cellStyle name="Note 4 4 2" xfId="842"/>
    <cellStyle name="Note 4 5" xfId="667"/>
    <cellStyle name="Note 4 6" xfId="3858"/>
    <cellStyle name="Note 5" xfId="351"/>
    <cellStyle name="Note 5 2" xfId="2957"/>
    <cellStyle name="Note 6" xfId="352"/>
    <cellStyle name="Note 6 2" xfId="2958"/>
    <cellStyle name="Note 7" xfId="2959"/>
    <cellStyle name="Note 7 2" xfId="2960"/>
    <cellStyle name="Note 7 3" xfId="2961"/>
    <cellStyle name="Note 8" xfId="2962"/>
    <cellStyle name="Note 8 2" xfId="2963"/>
    <cellStyle name="Note 9" xfId="2964"/>
    <cellStyle name="Note 9 2" xfId="2965"/>
    <cellStyle name="Note 9 2 2" xfId="2966"/>
    <cellStyle name="Note 9 3" xfId="2967"/>
    <cellStyle name="Note 9 4" xfId="2968"/>
    <cellStyle name="Note 9 5" xfId="2969"/>
    <cellStyle name="Output" xfId="4608" builtinId="21" customBuiltin="1"/>
    <cellStyle name="Output 2" xfId="353"/>
    <cellStyle name="Output 2 2" xfId="354"/>
    <cellStyle name="Output 2 2 2" xfId="2970"/>
    <cellStyle name="Output 2 2 2 2" xfId="2971"/>
    <cellStyle name="Output 2 2 3" xfId="2972"/>
    <cellStyle name="Output 2 2 3 2" xfId="2973"/>
    <cellStyle name="Output 2 2 4" xfId="2974"/>
    <cellStyle name="Output 2 2 5" xfId="2975"/>
    <cellStyle name="Output 2 3" xfId="355"/>
    <cellStyle name="Output 2 3 2" xfId="2976"/>
    <cellStyle name="Output 2 3 3" xfId="4729"/>
    <cellStyle name="Output 2 4" xfId="2977"/>
    <cellStyle name="Output 2 5" xfId="2978"/>
    <cellStyle name="Output 2 5 2" xfId="3750"/>
    <cellStyle name="Output 2 6" xfId="2979"/>
    <cellStyle name="Output 2_QC" xfId="2980"/>
    <cellStyle name="Output 3" xfId="356"/>
    <cellStyle name="Output 3 2" xfId="2981"/>
    <cellStyle name="Output 3 2 2" xfId="2982"/>
    <cellStyle name="Output 3 3" xfId="2983"/>
    <cellStyle name="Output 3 4" xfId="2984"/>
    <cellStyle name="Output 4" xfId="357"/>
    <cellStyle name="Output 4 2" xfId="2985"/>
    <cellStyle name="Output 4 2 2" xfId="2986"/>
    <cellStyle name="Output 4 3" xfId="2987"/>
    <cellStyle name="Output 4 4" xfId="2988"/>
    <cellStyle name="Output 5" xfId="2989"/>
    <cellStyle name="Output 5 2" xfId="2990"/>
    <cellStyle name="Output 5 2 2" xfId="2991"/>
    <cellStyle name="Output 5 3" xfId="2992"/>
    <cellStyle name="Output 6" xfId="2993"/>
    <cellStyle name="Output 6 2" xfId="2994"/>
    <cellStyle name="Output 7" xfId="2995"/>
    <cellStyle name="Output 7 2" xfId="2996"/>
    <cellStyle name="Page Number" xfId="2997"/>
    <cellStyle name="Percen - Style2" xfId="2998"/>
    <cellStyle name="Percent" xfId="61" builtinId="5"/>
    <cellStyle name="Percent [2]" xfId="2999"/>
    <cellStyle name="Percent [2] 2" xfId="3000"/>
    <cellStyle name="Percent [2] 2 2" xfId="3001"/>
    <cellStyle name="Percent [2] 3" xfId="3002"/>
    <cellStyle name="Percent [2] 3 2" xfId="3003"/>
    <cellStyle name="Percent 10" xfId="3004"/>
    <cellStyle name="Percent 10 2" xfId="3005"/>
    <cellStyle name="Percent 10 2 2" xfId="3006"/>
    <cellStyle name="Percent 10 3" xfId="3007"/>
    <cellStyle name="Percent 10 3 2" xfId="4189"/>
    <cellStyle name="Percent 10 4" xfId="3008"/>
    <cellStyle name="Percent 100" xfId="3009"/>
    <cellStyle name="Percent 100 2" xfId="3010"/>
    <cellStyle name="Percent 100 2 2" xfId="4191"/>
    <cellStyle name="Percent 100 3" xfId="4190"/>
    <cellStyle name="Percent 101" xfId="3011"/>
    <cellStyle name="Percent 101 2" xfId="3012"/>
    <cellStyle name="Percent 101 2 2" xfId="4193"/>
    <cellStyle name="Percent 101 3" xfId="4192"/>
    <cellStyle name="Percent 102" xfId="3013"/>
    <cellStyle name="Percent 102 2" xfId="3014"/>
    <cellStyle name="Percent 102 2 2" xfId="4195"/>
    <cellStyle name="Percent 102 3" xfId="4194"/>
    <cellStyle name="Percent 103" xfId="3015"/>
    <cellStyle name="Percent 103 2" xfId="3016"/>
    <cellStyle name="Percent 103 2 2" xfId="4197"/>
    <cellStyle name="Percent 103 3" xfId="4196"/>
    <cellStyle name="Percent 104" xfId="3017"/>
    <cellStyle name="Percent 104 2" xfId="3018"/>
    <cellStyle name="Percent 104 2 2" xfId="4199"/>
    <cellStyle name="Percent 104 3" xfId="4198"/>
    <cellStyle name="Percent 105" xfId="3019"/>
    <cellStyle name="Percent 105 2" xfId="3020"/>
    <cellStyle name="Percent 105 2 2" xfId="4201"/>
    <cellStyle name="Percent 105 3" xfId="4200"/>
    <cellStyle name="Percent 106" xfId="3021"/>
    <cellStyle name="Percent 106 2" xfId="4202"/>
    <cellStyle name="Percent 107" xfId="3022"/>
    <cellStyle name="Percent 107 2" xfId="4203"/>
    <cellStyle name="Percent 108" xfId="3023"/>
    <cellStyle name="Percent 108 2" xfId="4204"/>
    <cellStyle name="Percent 109" xfId="3024"/>
    <cellStyle name="Percent 109 2" xfId="4205"/>
    <cellStyle name="Percent 11" xfId="3025"/>
    <cellStyle name="Percent 11 2" xfId="3026"/>
    <cellStyle name="Percent 11 2 2" xfId="4207"/>
    <cellStyle name="Percent 11 3" xfId="3027"/>
    <cellStyle name="Percent 11 3 2" xfId="4208"/>
    <cellStyle name="Percent 11 4" xfId="4206"/>
    <cellStyle name="Percent 110" xfId="3028"/>
    <cellStyle name="Percent 110 2" xfId="4209"/>
    <cellStyle name="Percent 111" xfId="3029"/>
    <cellStyle name="Percent 111 2" xfId="4210"/>
    <cellStyle name="Percent 112" xfId="3030"/>
    <cellStyle name="Percent 112 2" xfId="4211"/>
    <cellStyle name="Percent 113" xfId="3031"/>
    <cellStyle name="Percent 113 2" xfId="4212"/>
    <cellStyle name="Percent 114" xfId="3032"/>
    <cellStyle name="Percent 115" xfId="3033"/>
    <cellStyle name="Percent 116" xfId="3034"/>
    <cellStyle name="Percent 116 2" xfId="4213"/>
    <cellStyle name="Percent 117" xfId="3035"/>
    <cellStyle name="Percent 117 2" xfId="4214"/>
    <cellStyle name="Percent 118" xfId="3036"/>
    <cellStyle name="Percent 118 2" xfId="4215"/>
    <cellStyle name="Percent 119" xfId="3037"/>
    <cellStyle name="Percent 119 2" xfId="4216"/>
    <cellStyle name="Percent 12" xfId="3038"/>
    <cellStyle name="Percent 12 2" xfId="3039"/>
    <cellStyle name="Percent 12 2 2" xfId="4217"/>
    <cellStyle name="Percent 12 3" xfId="3040"/>
    <cellStyle name="Percent 120" xfId="3041"/>
    <cellStyle name="Percent 120 2" xfId="4218"/>
    <cellStyle name="Percent 121" xfId="3042"/>
    <cellStyle name="Percent 121 2" xfId="4219"/>
    <cellStyle name="Percent 122" xfId="3043"/>
    <cellStyle name="Percent 122 2" xfId="4220"/>
    <cellStyle name="Percent 123" xfId="3044"/>
    <cellStyle name="Percent 123 2" xfId="4221"/>
    <cellStyle name="Percent 124" xfId="3045"/>
    <cellStyle name="Percent 124 2" xfId="4222"/>
    <cellStyle name="Percent 125" xfId="3046"/>
    <cellStyle name="Percent 125 2" xfId="4223"/>
    <cellStyle name="Percent 126" xfId="3047"/>
    <cellStyle name="Percent 126 2" xfId="4224"/>
    <cellStyle name="Percent 127" xfId="3048"/>
    <cellStyle name="Percent 127 2" xfId="4225"/>
    <cellStyle name="Percent 128" xfId="3049"/>
    <cellStyle name="Percent 128 2" xfId="4226"/>
    <cellStyle name="Percent 129" xfId="3050"/>
    <cellStyle name="Percent 129 2" xfId="4227"/>
    <cellStyle name="Percent 13" xfId="3051"/>
    <cellStyle name="Percent 13 2" xfId="3052"/>
    <cellStyle name="Percent 13 2 2" xfId="4228"/>
    <cellStyle name="Percent 13 3" xfId="3053"/>
    <cellStyle name="Percent 13 4" xfId="3054"/>
    <cellStyle name="Percent 130" xfId="3055"/>
    <cellStyle name="Percent 130 2" xfId="4229"/>
    <cellStyle name="Percent 131" xfId="3056"/>
    <cellStyle name="Percent 131 2" xfId="4230"/>
    <cellStyle name="Percent 132" xfId="3057"/>
    <cellStyle name="Percent 132 2" xfId="3058"/>
    <cellStyle name="Percent 132 2 2" xfId="4232"/>
    <cellStyle name="Percent 132 3" xfId="4231"/>
    <cellStyle name="Percent 133" xfId="3059"/>
    <cellStyle name="Percent 133 2" xfId="3060"/>
    <cellStyle name="Percent 133 2 2" xfId="4234"/>
    <cellStyle name="Percent 133 3" xfId="4233"/>
    <cellStyle name="Percent 134" xfId="3061"/>
    <cellStyle name="Percent 134 2" xfId="3062"/>
    <cellStyle name="Percent 134 2 2" xfId="4236"/>
    <cellStyle name="Percent 134 3" xfId="4235"/>
    <cellStyle name="Percent 135" xfId="3063"/>
    <cellStyle name="Percent 135 2" xfId="3064"/>
    <cellStyle name="Percent 135 3" xfId="3065"/>
    <cellStyle name="Percent 135 3 2" xfId="3066"/>
    <cellStyle name="Percent 135 3 3" xfId="3067"/>
    <cellStyle name="Percent 136" xfId="3068"/>
    <cellStyle name="Percent 136 2" xfId="4237"/>
    <cellStyle name="Percent 137" xfId="3069"/>
    <cellStyle name="Percent 137 2" xfId="4238"/>
    <cellStyle name="Percent 138" xfId="3070"/>
    <cellStyle name="Percent 138 2" xfId="4239"/>
    <cellStyle name="Percent 139" xfId="3071"/>
    <cellStyle name="Percent 139 2" xfId="4240"/>
    <cellStyle name="Percent 14" xfId="3072"/>
    <cellStyle name="Percent 14 2" xfId="3073"/>
    <cellStyle name="Percent 14 3" xfId="3074"/>
    <cellStyle name="Percent 14 4" xfId="3075"/>
    <cellStyle name="Percent 140" xfId="3076"/>
    <cellStyle name="Percent 140 2" xfId="4241"/>
    <cellStyle name="Percent 141" xfId="3077"/>
    <cellStyle name="Percent 141 2" xfId="4242"/>
    <cellStyle name="Percent 142" xfId="3078"/>
    <cellStyle name="Percent 143" xfId="3079"/>
    <cellStyle name="Percent 144" xfId="3080"/>
    <cellStyle name="Percent 145" xfId="3081"/>
    <cellStyle name="Percent 145 2" xfId="3082"/>
    <cellStyle name="Percent 145 2 2" xfId="3083"/>
    <cellStyle name="Percent 145 3" xfId="3084"/>
    <cellStyle name="Percent 145 3 2" xfId="4244"/>
    <cellStyle name="Percent 145 4" xfId="3085"/>
    <cellStyle name="Percent 145 4 2" xfId="3086"/>
    <cellStyle name="Percent 145 4 3" xfId="3087"/>
    <cellStyle name="Percent 145 5" xfId="4243"/>
    <cellStyle name="Percent 146" xfId="3088"/>
    <cellStyle name="Percent 146 2" xfId="4245"/>
    <cellStyle name="Percent 147" xfId="3089"/>
    <cellStyle name="Percent 147 2" xfId="3090"/>
    <cellStyle name="Percent 148" xfId="3091"/>
    <cellStyle name="Percent 148 2" xfId="3092"/>
    <cellStyle name="Percent 149" xfId="3093"/>
    <cellStyle name="Percent 149 2" xfId="3094"/>
    <cellStyle name="Percent 15" xfId="3095"/>
    <cellStyle name="Percent 15 2" xfId="3096"/>
    <cellStyle name="Percent 15 2 2" xfId="4246"/>
    <cellStyle name="Percent 15 3" xfId="3097"/>
    <cellStyle name="Percent 15 4" xfId="3098"/>
    <cellStyle name="Percent 150" xfId="3099"/>
    <cellStyle name="Percent 150 2" xfId="3100"/>
    <cellStyle name="Percent 151" xfId="3101"/>
    <cellStyle name="Percent 151 2" xfId="4247"/>
    <cellStyle name="Percent 152" xfId="3102"/>
    <cellStyle name="Percent 152 2" xfId="4248"/>
    <cellStyle name="Percent 153" xfId="3103"/>
    <cellStyle name="Percent 153 2" xfId="4249"/>
    <cellStyle name="Percent 154" xfId="3104"/>
    <cellStyle name="Percent 154 2" xfId="4250"/>
    <cellStyle name="Percent 155" xfId="3105"/>
    <cellStyle name="Percent 155 2" xfId="4251"/>
    <cellStyle name="Percent 156" xfId="3106"/>
    <cellStyle name="Percent 156 2" xfId="4252"/>
    <cellStyle name="Percent 157" xfId="3107"/>
    <cellStyle name="Percent 157 2" xfId="4253"/>
    <cellStyle name="Percent 158" xfId="3108"/>
    <cellStyle name="Percent 158 2" xfId="4254"/>
    <cellStyle name="Percent 159" xfId="3109"/>
    <cellStyle name="Percent 159 2" xfId="4255"/>
    <cellStyle name="Percent 16" xfId="3110"/>
    <cellStyle name="Percent 16 2" xfId="3111"/>
    <cellStyle name="Percent 16 3" xfId="3112"/>
    <cellStyle name="Percent 16 3 2" xfId="3113"/>
    <cellStyle name="Percent 160" xfId="3114"/>
    <cellStyle name="Percent 160 2" xfId="4256"/>
    <cellStyle name="Percent 161" xfId="3115"/>
    <cellStyle name="Percent 161 2" xfId="4257"/>
    <cellStyle name="Percent 162" xfId="3116"/>
    <cellStyle name="Percent 162 2" xfId="4258"/>
    <cellStyle name="Percent 163" xfId="3117"/>
    <cellStyle name="Percent 164" xfId="3118"/>
    <cellStyle name="Percent 164 2" xfId="4259"/>
    <cellStyle name="Percent 165" xfId="3119"/>
    <cellStyle name="Percent 166" xfId="3120"/>
    <cellStyle name="Percent 166 2" xfId="3121"/>
    <cellStyle name="Percent 166 2 2" xfId="4469"/>
    <cellStyle name="Percent 166 3" xfId="4260"/>
    <cellStyle name="Percent 167" xfId="3122"/>
    <cellStyle name="Percent 167 2" xfId="4261"/>
    <cellStyle name="Percent 168" xfId="3123"/>
    <cellStyle name="Percent 168 2" xfId="3124"/>
    <cellStyle name="Percent 168 2 2" xfId="4470"/>
    <cellStyle name="Percent 168 3" xfId="4262"/>
    <cellStyle name="Percent 169" xfId="3125"/>
    <cellStyle name="Percent 169 2" xfId="3126"/>
    <cellStyle name="Percent 169 2 2" xfId="4471"/>
    <cellStyle name="Percent 169 3" xfId="4263"/>
    <cellStyle name="Percent 17" xfId="3127"/>
    <cellStyle name="Percent 17 2" xfId="3128"/>
    <cellStyle name="Percent 17 2 2" xfId="4264"/>
    <cellStyle name="Percent 17 3" xfId="3129"/>
    <cellStyle name="Percent 17 3 2" xfId="3130"/>
    <cellStyle name="Percent 17 4" xfId="3131"/>
    <cellStyle name="Percent 170" xfId="3132"/>
    <cellStyle name="Percent 170 2" xfId="4265"/>
    <cellStyle name="Percent 171" xfId="3133"/>
    <cellStyle name="Percent 171 2" xfId="4266"/>
    <cellStyle name="Percent 172" xfId="3134"/>
    <cellStyle name="Percent 172 2" xfId="4267"/>
    <cellStyle name="Percent 173" xfId="3135"/>
    <cellStyle name="Percent 173 2" xfId="4268"/>
    <cellStyle name="Percent 174" xfId="3136"/>
    <cellStyle name="Percent 174 2" xfId="4269"/>
    <cellStyle name="Percent 175" xfId="3137"/>
    <cellStyle name="Percent 175 2" xfId="4270"/>
    <cellStyle name="Percent 176" xfId="3138"/>
    <cellStyle name="Percent 176 2" xfId="4271"/>
    <cellStyle name="Percent 177" xfId="3139"/>
    <cellStyle name="Percent 177 2" xfId="4272"/>
    <cellStyle name="Percent 178" xfId="3140"/>
    <cellStyle name="Percent 178 2" xfId="3862"/>
    <cellStyle name="Percent 178 2 2" xfId="4472"/>
    <cellStyle name="Percent 179" xfId="3141"/>
    <cellStyle name="Percent 179 2" xfId="3863"/>
    <cellStyle name="Percent 179 2 2" xfId="4473"/>
    <cellStyle name="Percent 18" xfId="3142"/>
    <cellStyle name="Percent 18 2" xfId="3143"/>
    <cellStyle name="Percent 18 3" xfId="3144"/>
    <cellStyle name="Percent 18 3 2" xfId="3145"/>
    <cellStyle name="Percent 18 3 3" xfId="3146"/>
    <cellStyle name="Percent 18 3 3 2" xfId="3147"/>
    <cellStyle name="Percent 18 3 3 3" xfId="3148"/>
    <cellStyle name="Percent 18 4" xfId="3149"/>
    <cellStyle name="Percent 18 5" xfId="3751"/>
    <cellStyle name="Percent 180" xfId="3150"/>
    <cellStyle name="Percent 180 2" xfId="3864"/>
    <cellStyle name="Percent 180 2 2" xfId="4474"/>
    <cellStyle name="Percent 181" xfId="3151"/>
    <cellStyle name="Percent 181 2" xfId="4475"/>
    <cellStyle name="Percent 182" xfId="3152"/>
    <cellStyle name="Percent 182 2" xfId="4476"/>
    <cellStyle name="Percent 183" xfId="3153"/>
    <cellStyle name="Percent 184" xfId="3154"/>
    <cellStyle name="Percent 184 2" xfId="4477"/>
    <cellStyle name="Percent 185" xfId="3155"/>
    <cellStyle name="Percent 185 2" xfId="4478"/>
    <cellStyle name="Percent 186" xfId="3156"/>
    <cellStyle name="Percent 186 2" xfId="4479"/>
    <cellStyle name="Percent 187" xfId="3157"/>
    <cellStyle name="Percent 187 2" xfId="4480"/>
    <cellStyle name="Percent 188" xfId="3158"/>
    <cellStyle name="Percent 188 2" xfId="4481"/>
    <cellStyle name="Percent 189" xfId="3159"/>
    <cellStyle name="Percent 189 2" xfId="4482"/>
    <cellStyle name="Percent 19" xfId="3160"/>
    <cellStyle name="Percent 19 2" xfId="3161"/>
    <cellStyle name="Percent 19 2 2" xfId="3162"/>
    <cellStyle name="Percent 19 2 2 2" xfId="3163"/>
    <cellStyle name="Percent 19 2 2 2 2" xfId="5478"/>
    <cellStyle name="Percent 19 2 2 3" xfId="5055"/>
    <cellStyle name="Percent 19 2 3" xfId="3164"/>
    <cellStyle name="Percent 19 2 3 2" xfId="5278"/>
    <cellStyle name="Percent 19 2 4" xfId="4273"/>
    <cellStyle name="Percent 19 2 5" xfId="4855"/>
    <cellStyle name="Percent 19 3" xfId="3165"/>
    <cellStyle name="Percent 19 3 2" xfId="3166"/>
    <cellStyle name="Percent 19 4" xfId="3167"/>
    <cellStyle name="Percent 19 4 2" xfId="3168"/>
    <cellStyle name="Percent 19 4 2 2" xfId="5477"/>
    <cellStyle name="Percent 19 4 3" xfId="5054"/>
    <cellStyle name="Percent 19 5" xfId="3169"/>
    <cellStyle name="Percent 19 6" xfId="3170"/>
    <cellStyle name="Percent 19 6 2" xfId="5140"/>
    <cellStyle name="Percent 19 7" xfId="4689"/>
    <cellStyle name="Percent 190" xfId="3171"/>
    <cellStyle name="Percent 190 2" xfId="4483"/>
    <cellStyle name="Percent 191" xfId="3172"/>
    <cellStyle name="Percent 191 2" xfId="4484"/>
    <cellStyle name="Percent 192" xfId="3173"/>
    <cellStyle name="Percent 192 2" xfId="4485"/>
    <cellStyle name="Percent 193" xfId="3174"/>
    <cellStyle name="Percent 193 2" xfId="3175"/>
    <cellStyle name="Percent 193 2 2" xfId="4486"/>
    <cellStyle name="Percent 193 2 3" xfId="5487"/>
    <cellStyle name="Percent 194" xfId="3176"/>
    <cellStyle name="Percent 194 2" xfId="4396"/>
    <cellStyle name="Percent 195" xfId="3177"/>
    <cellStyle name="Percent 195 2" xfId="4489"/>
    <cellStyle name="Percent 196" xfId="3178"/>
    <cellStyle name="Percent 197" xfId="3179"/>
    <cellStyle name="Percent 197 2" xfId="3886"/>
    <cellStyle name="Percent 198" xfId="3180"/>
    <cellStyle name="Percent 198 2" xfId="4494"/>
    <cellStyle name="Percent 199" xfId="3181"/>
    <cellStyle name="Percent 199 2" xfId="4491"/>
    <cellStyle name="Percent 2" xfId="62"/>
    <cellStyle name="Percent 2 2" xfId="358"/>
    <cellStyle name="Percent 2 2 2" xfId="359"/>
    <cellStyle name="Percent 2 2 2 2" xfId="360"/>
    <cellStyle name="Percent 2 2 2 2 2" xfId="479"/>
    <cellStyle name="Percent 2 2 2 2 2 2" xfId="595"/>
    <cellStyle name="Percent 2 2 2 2 2 2 2" xfId="849"/>
    <cellStyle name="Percent 2 2 2 2 2 3" xfId="733"/>
    <cellStyle name="Percent 2 2 2 2 2 4" xfId="3753"/>
    <cellStyle name="Percent 2 2 2 2 3" xfId="594"/>
    <cellStyle name="Percent 2 2 2 2 3 2" xfId="848"/>
    <cellStyle name="Percent 2 2 2 2 3 2 2" xfId="3865"/>
    <cellStyle name="Percent 2 2 2 2 3 3" xfId="3182"/>
    <cellStyle name="Percent 2 2 2 2 4" xfId="671"/>
    <cellStyle name="Percent 2 2 2 3" xfId="361"/>
    <cellStyle name="Percent 2 2 2 3 2" xfId="480"/>
    <cellStyle name="Percent 2 2 2 3 2 2" xfId="597"/>
    <cellStyle name="Percent 2 2 2 3 2 2 2" xfId="851"/>
    <cellStyle name="Percent 2 2 2 3 2 3" xfId="734"/>
    <cellStyle name="Percent 2 2 2 3 3" xfId="596"/>
    <cellStyle name="Percent 2 2 2 3 3 2" xfId="850"/>
    <cellStyle name="Percent 2 2 2 3 4" xfId="672"/>
    <cellStyle name="Percent 2 2 2 3 5" xfId="3754"/>
    <cellStyle name="Percent 2 2 2 4" xfId="478"/>
    <cellStyle name="Percent 2 2 2 4 2" xfId="598"/>
    <cellStyle name="Percent 2 2 2 4 2 2" xfId="852"/>
    <cellStyle name="Percent 2 2 2 4 2 3" xfId="3866"/>
    <cellStyle name="Percent 2 2 2 4 3" xfId="732"/>
    <cellStyle name="Percent 2 2 2 4 3 2" xfId="3867"/>
    <cellStyle name="Percent 2 2 2 4 4" xfId="3755"/>
    <cellStyle name="Percent 2 2 2 5" xfId="593"/>
    <cellStyle name="Percent 2 2 2 5 2" xfId="847"/>
    <cellStyle name="Percent 2 2 2 5 2 2" xfId="3868"/>
    <cellStyle name="Percent 2 2 2 5 3" xfId="3756"/>
    <cellStyle name="Percent 2 2 2 6" xfId="670"/>
    <cellStyle name="Percent 2 2 2 6 2" xfId="5131"/>
    <cellStyle name="Percent 2 2 2 7" xfId="3752"/>
    <cellStyle name="Percent 2 2 2 8" xfId="4778"/>
    <cellStyle name="Percent 2 2 3" xfId="362"/>
    <cellStyle name="Percent 2 2 3 2" xfId="481"/>
    <cellStyle name="Percent 2 2 3 2 2" xfId="600"/>
    <cellStyle name="Percent 2 2 3 2 2 2" xfId="854"/>
    <cellStyle name="Percent 2 2 3 2 3" xfId="735"/>
    <cellStyle name="Percent 2 2 3 2 4" xfId="3758"/>
    <cellStyle name="Percent 2 2 3 3" xfId="599"/>
    <cellStyle name="Percent 2 2 3 3 2" xfId="853"/>
    <cellStyle name="Percent 2 2 3 4" xfId="673"/>
    <cellStyle name="Percent 2 2 3 5" xfId="3757"/>
    <cellStyle name="Percent 2 2 4" xfId="363"/>
    <cellStyle name="Percent 2 2 4 2" xfId="482"/>
    <cellStyle name="Percent 2 2 4 2 2" xfId="602"/>
    <cellStyle name="Percent 2 2 4 2 2 2" xfId="856"/>
    <cellStyle name="Percent 2 2 4 2 3" xfId="736"/>
    <cellStyle name="Percent 2 2 4 2 4" xfId="3760"/>
    <cellStyle name="Percent 2 2 4 3" xfId="601"/>
    <cellStyle name="Percent 2 2 4 3 2" xfId="855"/>
    <cellStyle name="Percent 2 2 4 4" xfId="674"/>
    <cellStyle name="Percent 2 2 4 5" xfId="3759"/>
    <cellStyle name="Percent 2 2 5" xfId="477"/>
    <cellStyle name="Percent 2 2 5 2" xfId="603"/>
    <cellStyle name="Percent 2 2 5 2 2" xfId="857"/>
    <cellStyle name="Percent 2 2 5 2 3" xfId="3761"/>
    <cellStyle name="Percent 2 2 5 3" xfId="731"/>
    <cellStyle name="Percent 2 2 5 3 2" xfId="3183"/>
    <cellStyle name="Percent 2 2 5 3 3" xfId="3184"/>
    <cellStyle name="Percent 2 2 6" xfId="592"/>
    <cellStyle name="Percent 2 2 6 2" xfId="846"/>
    <cellStyle name="Percent 2 2 6 3" xfId="3762"/>
    <cellStyle name="Percent 2 2 7" xfId="669"/>
    <cellStyle name="Percent 2 2 7 2" xfId="4563"/>
    <cellStyle name="Percent 2 2 7 3" xfId="5130"/>
    <cellStyle name="Percent 2 2 8" xfId="5519"/>
    <cellStyle name="Percent 2 2 9" xfId="5528"/>
    <cellStyle name="Percent 2 3" xfId="364"/>
    <cellStyle name="Percent 2 3 2" xfId="483"/>
    <cellStyle name="Percent 2 3 2 2" xfId="605"/>
    <cellStyle name="Percent 2 3 2 2 2" xfId="859"/>
    <cellStyle name="Percent 2 3 2 3" xfId="737"/>
    <cellStyle name="Percent 2 3 2 4" xfId="4274"/>
    <cellStyle name="Percent 2 3 3" xfId="604"/>
    <cellStyle name="Percent 2 3 3 2" xfId="858"/>
    <cellStyle name="Percent 2 3 4" xfId="675"/>
    <cellStyle name="Percent 2 3 5" xfId="3763"/>
    <cellStyle name="Percent 2 4" xfId="365"/>
    <cellStyle name="Percent 2 5" xfId="366"/>
    <cellStyle name="Percent 2 6" xfId="367"/>
    <cellStyle name="Percent 20" xfId="3185"/>
    <cellStyle name="Percent 20 2" xfId="3186"/>
    <cellStyle name="Percent 20 2 2" xfId="3187"/>
    <cellStyle name="Percent 20 2 2 2" xfId="3188"/>
    <cellStyle name="Percent 20 2 2 2 2" xfId="5480"/>
    <cellStyle name="Percent 20 2 2 3" xfId="5057"/>
    <cellStyle name="Percent 20 2 3" xfId="3189"/>
    <cellStyle name="Percent 20 2 4" xfId="3190"/>
    <cellStyle name="Percent 20 2 4 2" xfId="5282"/>
    <cellStyle name="Percent 20 2 5" xfId="4859"/>
    <cellStyle name="Percent 20 3" xfId="3191"/>
    <cellStyle name="Percent 20 3 2" xfId="3192"/>
    <cellStyle name="Percent 20 3 3" xfId="3193"/>
    <cellStyle name="Percent 20 3 3 2" xfId="3194"/>
    <cellStyle name="Percent 20 3 3 3" xfId="3195"/>
    <cellStyle name="Percent 20 3 4" xfId="3196"/>
    <cellStyle name="Percent 20 3 5" xfId="3197"/>
    <cellStyle name="Percent 20 3 5 2" xfId="5479"/>
    <cellStyle name="Percent 20 3 6" xfId="5056"/>
    <cellStyle name="Percent 20 4" xfId="3198"/>
    <cellStyle name="Percent 20 5" xfId="3199"/>
    <cellStyle name="Percent 20 5 2" xfId="5144"/>
    <cellStyle name="Percent 20 6" xfId="3764"/>
    <cellStyle name="Percent 20 7" xfId="4696"/>
    <cellStyle name="Percent 200" xfId="3200"/>
    <cellStyle name="Percent 200 2" xfId="4495"/>
    <cellStyle name="Percent 201" xfId="3201"/>
    <cellStyle name="Percent 201 2" xfId="4490"/>
    <cellStyle name="Percent 202" xfId="3202"/>
    <cellStyle name="Percent 202 2" xfId="4496"/>
    <cellStyle name="Percent 203" xfId="3203"/>
    <cellStyle name="Percent 203 2" xfId="4493"/>
    <cellStyle name="Percent 204" xfId="3204"/>
    <cellStyle name="Percent 204 2" xfId="4497"/>
    <cellStyle name="Percent 205" xfId="3205"/>
    <cellStyle name="Percent 205 2" xfId="4492"/>
    <cellStyle name="Percent 206" xfId="3206"/>
    <cellStyle name="Percent 207" xfId="3207"/>
    <cellStyle name="Percent 208" xfId="3208"/>
    <cellStyle name="Percent 208 2" xfId="4504"/>
    <cellStyle name="Percent 209" xfId="3209"/>
    <cellStyle name="Percent 209 2" xfId="4498"/>
    <cellStyle name="Percent 21" xfId="3210"/>
    <cellStyle name="Percent 21 2" xfId="3211"/>
    <cellStyle name="Percent 21 2 2" xfId="4275"/>
    <cellStyle name="Percent 21 3" xfId="3212"/>
    <cellStyle name="Percent 210" xfId="3213"/>
    <cellStyle name="Percent 210 2" xfId="4505"/>
    <cellStyle name="Percent 211" xfId="3214"/>
    <cellStyle name="Percent 211 2" xfId="4499"/>
    <cellStyle name="Percent 212" xfId="3215"/>
    <cellStyle name="Percent 212 2" xfId="4506"/>
    <cellStyle name="Percent 213" xfId="3216"/>
    <cellStyle name="Percent 213 2" xfId="4502"/>
    <cellStyle name="Percent 214" xfId="3217"/>
    <cellStyle name="Percent 214 2" xfId="4507"/>
    <cellStyle name="Percent 215" xfId="3218"/>
    <cellStyle name="Percent 215 2" xfId="4503"/>
    <cellStyle name="Percent 216" xfId="3219"/>
    <cellStyle name="Percent 216 2" xfId="4508"/>
    <cellStyle name="Percent 217" xfId="3220"/>
    <cellStyle name="Percent 217 2" xfId="4501"/>
    <cellStyle name="Percent 218" xfId="3221"/>
    <cellStyle name="Percent 218 2" xfId="4509"/>
    <cellStyle name="Percent 219" xfId="3222"/>
    <cellStyle name="Percent 219 2" xfId="4500"/>
    <cellStyle name="Percent 22" xfId="3223"/>
    <cellStyle name="Percent 22 2" xfId="3224"/>
    <cellStyle name="Percent 22 2 2" xfId="4276"/>
    <cellStyle name="Percent 220" xfId="3225"/>
    <cellStyle name="Percent 220 2" xfId="4510"/>
    <cellStyle name="Percent 221" xfId="3226"/>
    <cellStyle name="Percent 221 2" xfId="4513"/>
    <cellStyle name="Percent 222" xfId="3227"/>
    <cellStyle name="Percent 223" xfId="3228"/>
    <cellStyle name="Percent 224" xfId="3229"/>
    <cellStyle name="Percent 225" xfId="3230"/>
    <cellStyle name="Percent 226" xfId="3231"/>
    <cellStyle name="Percent 227" xfId="3232"/>
    <cellStyle name="Percent 228" xfId="3233"/>
    <cellStyle name="Percent 229" xfId="3234"/>
    <cellStyle name="Percent 23" xfId="3235"/>
    <cellStyle name="Percent 23 2" xfId="3236"/>
    <cellStyle name="Percent 23 2 2" xfId="4277"/>
    <cellStyle name="Percent 23 3" xfId="3237"/>
    <cellStyle name="Percent 230" xfId="3238"/>
    <cellStyle name="Percent 231" xfId="3239"/>
    <cellStyle name="Percent 232" xfId="3240"/>
    <cellStyle name="Percent 233" xfId="3241"/>
    <cellStyle name="Percent 234" xfId="3242"/>
    <cellStyle name="Percent 235" xfId="3243"/>
    <cellStyle name="Percent 236" xfId="3244"/>
    <cellStyle name="Percent 237" xfId="3245"/>
    <cellStyle name="Percent 238" xfId="3246"/>
    <cellStyle name="Percent 239" xfId="3247"/>
    <cellStyle name="Percent 24" xfId="3248"/>
    <cellStyle name="Percent 24 2" xfId="3249"/>
    <cellStyle name="Percent 24 2 2" xfId="4278"/>
    <cellStyle name="Percent 24 3" xfId="3250"/>
    <cellStyle name="Percent 240" xfId="3251"/>
    <cellStyle name="Percent 241" xfId="3252"/>
    <cellStyle name="Percent 242" xfId="3253"/>
    <cellStyle name="Percent 243" xfId="3254"/>
    <cellStyle name="Percent 244" xfId="3255"/>
    <cellStyle name="Percent 245" xfId="3256"/>
    <cellStyle name="Percent 246" xfId="3257"/>
    <cellStyle name="Percent 247" xfId="3258"/>
    <cellStyle name="Percent 248" xfId="3887"/>
    <cellStyle name="Percent 249" xfId="4588"/>
    <cellStyle name="Percent 25" xfId="3259"/>
    <cellStyle name="Percent 25 2" xfId="3260"/>
    <cellStyle name="Percent 25 3" xfId="3261"/>
    <cellStyle name="Percent 25 3 2" xfId="5484"/>
    <cellStyle name="Percent 25 4" xfId="5062"/>
    <cellStyle name="Percent 250" xfId="4589"/>
    <cellStyle name="Percent 251" xfId="4115"/>
    <cellStyle name="Percent 252" xfId="3799"/>
    <cellStyle name="Percent 253" xfId="4593"/>
    <cellStyle name="Percent 253 2" xfId="4595"/>
    <cellStyle name="Percent 253 3" xfId="4601"/>
    <cellStyle name="Percent 254" xfId="5510"/>
    <cellStyle name="Percent 255" xfId="5522"/>
    <cellStyle name="Percent 256" xfId="5529"/>
    <cellStyle name="Percent 257" xfId="5554"/>
    <cellStyle name="Percent 26" xfId="3262"/>
    <cellStyle name="Percent 26 2" xfId="3263"/>
    <cellStyle name="Percent 27" xfId="3264"/>
    <cellStyle name="Percent 27 2" xfId="3265"/>
    <cellStyle name="Percent 28" xfId="3266"/>
    <cellStyle name="Percent 28 2" xfId="3267"/>
    <cellStyle name="Percent 28 3" xfId="3268"/>
    <cellStyle name="Percent 28 3 2" xfId="5490"/>
    <cellStyle name="Percent 29" xfId="3269"/>
    <cellStyle name="Percent 29 2" xfId="3270"/>
    <cellStyle name="Percent 29 3" xfId="3271"/>
    <cellStyle name="Percent 29 3 2" xfId="5489"/>
    <cellStyle name="Percent 3" xfId="368"/>
    <cellStyle name="Percent 3 2" xfId="3272"/>
    <cellStyle name="Percent 3 2 2" xfId="3273"/>
    <cellStyle name="Percent 3 2 2 2" xfId="4281"/>
    <cellStyle name="Percent 3 2 3" xfId="3274"/>
    <cellStyle name="Percent 3 2 3 2" xfId="4282"/>
    <cellStyle name="Percent 3 2 4" xfId="3275"/>
    <cellStyle name="Percent 3 2 4 2" xfId="3276"/>
    <cellStyle name="Percent 3 2 4 3" xfId="3277"/>
    <cellStyle name="Percent 3 2 5" xfId="3278"/>
    <cellStyle name="Percent 3 2 6" xfId="4280"/>
    <cellStyle name="Percent 3 3" xfId="3279"/>
    <cellStyle name="Percent 3 4" xfId="4279"/>
    <cellStyle name="Percent 30" xfId="3280"/>
    <cellStyle name="Percent 30 2" xfId="3281"/>
    <cellStyle name="Percent 30 2 2" xfId="4284"/>
    <cellStyle name="Percent 30 3" xfId="3282"/>
    <cellStyle name="Percent 30 3 2" xfId="4283"/>
    <cellStyle name="Percent 30 3 3" xfId="5507"/>
    <cellStyle name="Percent 31" xfId="3283"/>
    <cellStyle name="Percent 31 2" xfId="3284"/>
    <cellStyle name="Percent 31 2 2" xfId="4286"/>
    <cellStyle name="Percent 31 3" xfId="4285"/>
    <cellStyle name="Percent 32" xfId="3285"/>
    <cellStyle name="Percent 32 2" xfId="3286"/>
    <cellStyle name="Percent 32 2 2" xfId="4288"/>
    <cellStyle name="Percent 32 3" xfId="4287"/>
    <cellStyle name="Percent 33" xfId="3287"/>
    <cellStyle name="Percent 33 2" xfId="3765"/>
    <cellStyle name="Percent 33 2 2" xfId="4290"/>
    <cellStyle name="Percent 33 3" xfId="4289"/>
    <cellStyle name="Percent 34" xfId="3288"/>
    <cellStyle name="Percent 34 2" xfId="4291"/>
    <cellStyle name="Percent 35" xfId="3289"/>
    <cellStyle name="Percent 35 2" xfId="3290"/>
    <cellStyle name="Percent 35 2 2" xfId="4293"/>
    <cellStyle name="Percent 35 3" xfId="3291"/>
    <cellStyle name="Percent 35 3 2" xfId="4294"/>
    <cellStyle name="Percent 35 4" xfId="4292"/>
    <cellStyle name="Percent 36" xfId="3292"/>
    <cellStyle name="Percent 36 2" xfId="3293"/>
    <cellStyle name="Percent 36 2 2" xfId="4296"/>
    <cellStyle name="Percent 36 3" xfId="3294"/>
    <cellStyle name="Percent 36 3 2" xfId="4297"/>
    <cellStyle name="Percent 36 4" xfId="4295"/>
    <cellStyle name="Percent 37" xfId="3295"/>
    <cellStyle name="Percent 37 2" xfId="3296"/>
    <cellStyle name="Percent 37 2 2" xfId="4299"/>
    <cellStyle name="Percent 37 3" xfId="4298"/>
    <cellStyle name="Percent 38" xfId="3297"/>
    <cellStyle name="Percent 38 2" xfId="4300"/>
    <cellStyle name="Percent 39" xfId="3298"/>
    <cellStyle name="Percent 39 2" xfId="4301"/>
    <cellStyle name="Percent 4" xfId="369"/>
    <cellStyle name="Percent 4 2" xfId="3299"/>
    <cellStyle name="Percent 4 2 2" xfId="3300"/>
    <cellStyle name="Percent 4 2 3" xfId="3301"/>
    <cellStyle name="Percent 4 3" xfId="3302"/>
    <cellStyle name="Percent 4 3 2" xfId="4302"/>
    <cellStyle name="Percent 4 4" xfId="4522"/>
    <cellStyle name="Percent 4 5" xfId="4515"/>
    <cellStyle name="Percent 40" xfId="3303"/>
    <cellStyle name="Percent 40 2" xfId="3304"/>
    <cellStyle name="Percent 40 2 2" xfId="4304"/>
    <cellStyle name="Percent 40 3" xfId="4303"/>
    <cellStyle name="Percent 41" xfId="3305"/>
    <cellStyle name="Percent 41 2" xfId="4305"/>
    <cellStyle name="Percent 42" xfId="3306"/>
    <cellStyle name="Percent 42 2" xfId="4306"/>
    <cellStyle name="Percent 43" xfId="3307"/>
    <cellStyle name="Percent 43 2" xfId="4307"/>
    <cellStyle name="Percent 44" xfId="3308"/>
    <cellStyle name="Percent 44 2" xfId="4308"/>
    <cellStyle name="Percent 45" xfId="3309"/>
    <cellStyle name="Percent 45 2" xfId="3310"/>
    <cellStyle name="Percent 45 2 2" xfId="4310"/>
    <cellStyle name="Percent 45 3" xfId="4309"/>
    <cellStyle name="Percent 46" xfId="3311"/>
    <cellStyle name="Percent 46 2" xfId="4311"/>
    <cellStyle name="Percent 47" xfId="3312"/>
    <cellStyle name="Percent 47 2" xfId="4312"/>
    <cellStyle name="Percent 48" xfId="3313"/>
    <cellStyle name="Percent 48 2" xfId="4313"/>
    <cellStyle name="Percent 49" xfId="3314"/>
    <cellStyle name="Percent 49 2" xfId="4314"/>
    <cellStyle name="Percent 5" xfId="370"/>
    <cellStyle name="Percent 5 2" xfId="3315"/>
    <cellStyle name="Percent 5 2 2" xfId="3316"/>
    <cellStyle name="Percent 5 3" xfId="3317"/>
    <cellStyle name="Percent 50" xfId="3318"/>
    <cellStyle name="Percent 50 2" xfId="4315"/>
    <cellStyle name="Percent 51" xfId="3319"/>
    <cellStyle name="Percent 51 2" xfId="4316"/>
    <cellStyle name="Percent 52" xfId="3320"/>
    <cellStyle name="Percent 52 2" xfId="3321"/>
    <cellStyle name="Percent 52 2 2" xfId="4318"/>
    <cellStyle name="Percent 52 3" xfId="4317"/>
    <cellStyle name="Percent 53" xfId="3322"/>
    <cellStyle name="Percent 53 2" xfId="3323"/>
    <cellStyle name="Percent 53 2 2" xfId="4320"/>
    <cellStyle name="Percent 53 3" xfId="4319"/>
    <cellStyle name="Percent 54" xfId="3324"/>
    <cellStyle name="Percent 54 2" xfId="3325"/>
    <cellStyle name="Percent 54 2 2" xfId="4322"/>
    <cellStyle name="Percent 54 3" xfId="4321"/>
    <cellStyle name="Percent 55" xfId="3326"/>
    <cellStyle name="Percent 55 2" xfId="3327"/>
    <cellStyle name="Percent 55 2 2" xfId="4324"/>
    <cellStyle name="Percent 55 3" xfId="4323"/>
    <cellStyle name="Percent 56" xfId="3328"/>
    <cellStyle name="Percent 56 2" xfId="4325"/>
    <cellStyle name="Percent 57" xfId="3329"/>
    <cellStyle name="Percent 57 2" xfId="4326"/>
    <cellStyle name="Percent 58" xfId="3330"/>
    <cellStyle name="Percent 58 2" xfId="4327"/>
    <cellStyle name="Percent 59" xfId="3331"/>
    <cellStyle name="Percent 59 2" xfId="4328"/>
    <cellStyle name="Percent 6" xfId="371"/>
    <cellStyle name="Percent 6 2" xfId="484"/>
    <cellStyle name="Percent 6 2 2" xfId="607"/>
    <cellStyle name="Percent 6 2 2 2" xfId="861"/>
    <cellStyle name="Percent 6 2 2 3" xfId="4730"/>
    <cellStyle name="Percent 6 2 3" xfId="738"/>
    <cellStyle name="Percent 6 2 4" xfId="4329"/>
    <cellStyle name="Percent 6 3" xfId="606"/>
    <cellStyle name="Percent 6 3 2" xfId="860"/>
    <cellStyle name="Percent 6 3 3" xfId="4731"/>
    <cellStyle name="Percent 6 4" xfId="676"/>
    <cellStyle name="Percent 6 5" xfId="3766"/>
    <cellStyle name="Percent 60" xfId="3332"/>
    <cellStyle name="Percent 60 2" xfId="4330"/>
    <cellStyle name="Percent 61" xfId="3333"/>
    <cellStyle name="Percent 61 2" xfId="4331"/>
    <cellStyle name="Percent 62" xfId="3334"/>
    <cellStyle name="Percent 62 2" xfId="4332"/>
    <cellStyle name="Percent 63" xfId="3335"/>
    <cellStyle name="Percent 63 2" xfId="4333"/>
    <cellStyle name="Percent 64" xfId="3336"/>
    <cellStyle name="Percent 64 2" xfId="4334"/>
    <cellStyle name="Percent 65" xfId="3337"/>
    <cellStyle name="Percent 65 2" xfId="4335"/>
    <cellStyle name="Percent 66" xfId="3338"/>
    <cellStyle name="Percent 66 2" xfId="4336"/>
    <cellStyle name="Percent 67" xfId="3339"/>
    <cellStyle name="Percent 67 2" xfId="4337"/>
    <cellStyle name="Percent 68" xfId="3340"/>
    <cellStyle name="Percent 68 2" xfId="4338"/>
    <cellStyle name="Percent 69" xfId="3341"/>
    <cellStyle name="Percent 69 2" xfId="4339"/>
    <cellStyle name="Percent 7" xfId="372"/>
    <cellStyle name="Percent 7 2" xfId="485"/>
    <cellStyle name="Percent 7 2 2" xfId="609"/>
    <cellStyle name="Percent 7 2 2 2" xfId="863"/>
    <cellStyle name="Percent 7 2 3" xfId="739"/>
    <cellStyle name="Percent 7 2 4" xfId="4340"/>
    <cellStyle name="Percent 7 2 5" xfId="4677"/>
    <cellStyle name="Percent 7 3" xfId="608"/>
    <cellStyle name="Percent 7 3 2" xfId="862"/>
    <cellStyle name="Percent 7 3 3" xfId="5132"/>
    <cellStyle name="Percent 7 4" xfId="677"/>
    <cellStyle name="Percent 7 5" xfId="3767"/>
    <cellStyle name="Percent 7 6" xfId="4676"/>
    <cellStyle name="Percent 70" xfId="3342"/>
    <cellStyle name="Percent 70 2" xfId="4341"/>
    <cellStyle name="Percent 71" xfId="3343"/>
    <cellStyle name="Percent 71 2" xfId="4342"/>
    <cellStyle name="Percent 72" xfId="3344"/>
    <cellStyle name="Percent 72 2" xfId="3345"/>
    <cellStyle name="Percent 72 2 2" xfId="4344"/>
    <cellStyle name="Percent 72 3" xfId="4343"/>
    <cellStyle name="Percent 73" xfId="3346"/>
    <cellStyle name="Percent 73 2" xfId="3347"/>
    <cellStyle name="Percent 73 2 2" xfId="4346"/>
    <cellStyle name="Percent 73 3" xfId="4345"/>
    <cellStyle name="Percent 74" xfId="3348"/>
    <cellStyle name="Percent 74 2" xfId="3349"/>
    <cellStyle name="Percent 74 2 2" xfId="4348"/>
    <cellStyle name="Percent 74 3" xfId="4347"/>
    <cellStyle name="Percent 75" xfId="3350"/>
    <cellStyle name="Percent 75 2" xfId="3351"/>
    <cellStyle name="Percent 75 2 2" xfId="4350"/>
    <cellStyle name="Percent 75 3" xfId="4349"/>
    <cellStyle name="Percent 76" xfId="3352"/>
    <cellStyle name="Percent 76 2" xfId="3353"/>
    <cellStyle name="Percent 76 2 2" xfId="4352"/>
    <cellStyle name="Percent 76 3" xfId="4351"/>
    <cellStyle name="Percent 77" xfId="3354"/>
    <cellStyle name="Percent 77 2" xfId="3355"/>
    <cellStyle name="Percent 77 2 2" xfId="4354"/>
    <cellStyle name="Percent 77 3" xfId="4353"/>
    <cellStyle name="Percent 78" xfId="3356"/>
    <cellStyle name="Percent 78 2" xfId="3357"/>
    <cellStyle name="Percent 78 2 2" xfId="4356"/>
    <cellStyle name="Percent 78 3" xfId="4355"/>
    <cellStyle name="Percent 79" xfId="3358"/>
    <cellStyle name="Percent 79 2" xfId="4357"/>
    <cellStyle name="Percent 8" xfId="491"/>
    <cellStyle name="Percent 8 2" xfId="745"/>
    <cellStyle name="Percent 8 2 2" xfId="4358"/>
    <cellStyle name="Percent 8 3" xfId="3768"/>
    <cellStyle name="Percent 80" xfId="3359"/>
    <cellStyle name="Percent 80 2" xfId="4359"/>
    <cellStyle name="Percent 81" xfId="3360"/>
    <cellStyle name="Percent 81 2" xfId="4360"/>
    <cellStyle name="Percent 82" xfId="3361"/>
    <cellStyle name="Percent 82 2" xfId="4361"/>
    <cellStyle name="Percent 83" xfId="3362"/>
    <cellStyle name="Percent 83 2" xfId="4362"/>
    <cellStyle name="Percent 84" xfId="3363"/>
    <cellStyle name="Percent 84 2" xfId="4363"/>
    <cellStyle name="Percent 85" xfId="3364"/>
    <cellStyle name="Percent 85 2" xfId="4364"/>
    <cellStyle name="Percent 86" xfId="3365"/>
    <cellStyle name="Percent 86 2" xfId="4365"/>
    <cellStyle name="Percent 87" xfId="3366"/>
    <cellStyle name="Percent 87 2" xfId="4366"/>
    <cellStyle name="Percent 88" xfId="3367"/>
    <cellStyle name="Percent 88 2" xfId="4367"/>
    <cellStyle name="Percent 89" xfId="3368"/>
    <cellStyle name="Percent 89 2" xfId="4368"/>
    <cellStyle name="Percent 9" xfId="3369"/>
    <cellStyle name="Percent 9 2" xfId="3370"/>
    <cellStyle name="Percent 9 2 2" xfId="3371"/>
    <cellStyle name="Percent 9 3" xfId="3372"/>
    <cellStyle name="Percent 9 3 2" xfId="4369"/>
    <cellStyle name="Percent 9 4" xfId="3373"/>
    <cellStyle name="Percent 90" xfId="3374"/>
    <cellStyle name="Percent 90 2" xfId="4370"/>
    <cellStyle name="Percent 91" xfId="3375"/>
    <cellStyle name="Percent 91 2" xfId="4371"/>
    <cellStyle name="Percent 92" xfId="3376"/>
    <cellStyle name="Percent 92 2" xfId="4372"/>
    <cellStyle name="Percent 93" xfId="3377"/>
    <cellStyle name="Percent 93 2" xfId="4373"/>
    <cellStyle name="Percent 94" xfId="3378"/>
    <cellStyle name="Percent 94 2" xfId="3379"/>
    <cellStyle name="Percent 94 2 2" xfId="4375"/>
    <cellStyle name="Percent 94 3" xfId="4374"/>
    <cellStyle name="Percent 95" xfId="3380"/>
    <cellStyle name="Percent 95 2" xfId="3381"/>
    <cellStyle name="Percent 95 2 2" xfId="4377"/>
    <cellStyle name="Percent 95 3" xfId="4376"/>
    <cellStyle name="Percent 96" xfId="3382"/>
    <cellStyle name="Percent 96 2" xfId="3383"/>
    <cellStyle name="Percent 96 2 2" xfId="4379"/>
    <cellStyle name="Percent 96 3" xfId="4378"/>
    <cellStyle name="Percent 97" xfId="3384"/>
    <cellStyle name="Percent 97 2" xfId="3385"/>
    <cellStyle name="Percent 97 2 2" xfId="4381"/>
    <cellStyle name="Percent 97 3" xfId="4380"/>
    <cellStyle name="Percent 98" xfId="3386"/>
    <cellStyle name="Percent 98 2" xfId="3387"/>
    <cellStyle name="Percent 98 2 2" xfId="4383"/>
    <cellStyle name="Percent 98 3" xfId="4382"/>
    <cellStyle name="Percent 99" xfId="3388"/>
    <cellStyle name="Percent 99 2" xfId="3389"/>
    <cellStyle name="Percent 99 2 2" xfId="4385"/>
    <cellStyle name="Percent 99 3" xfId="4384"/>
    <cellStyle name="PSChar" xfId="63"/>
    <cellStyle name="PSChar 2" xfId="3390"/>
    <cellStyle name="PSChar 2 2" xfId="3391"/>
    <cellStyle name="PSChar 3" xfId="3392"/>
    <cellStyle name="PSChar 3 2" xfId="3393"/>
    <cellStyle name="PSChar 4" xfId="3394"/>
    <cellStyle name="PSChar 4 2" xfId="3395"/>
    <cellStyle name="PSChar 4 2 2" xfId="3396"/>
    <cellStyle name="PSChar 4 3" xfId="3397"/>
    <cellStyle name="PSChar 5" xfId="3398"/>
    <cellStyle name="PSChar 5 2" xfId="3399"/>
    <cellStyle name="PSChar 5 2 2" xfId="3400"/>
    <cellStyle name="PSChar 5 3" xfId="3401"/>
    <cellStyle name="PSChar 6" xfId="3402"/>
    <cellStyle name="PSDate" xfId="64"/>
    <cellStyle name="PSDate 2" xfId="3403"/>
    <cellStyle name="PSDate 2 2" xfId="3404"/>
    <cellStyle name="PSDate 3" xfId="3405"/>
    <cellStyle name="PSDate 3 2" xfId="3406"/>
    <cellStyle name="PSDate 4" xfId="3407"/>
    <cellStyle name="PSDate 4 2" xfId="3408"/>
    <cellStyle name="PSDate 4 2 2" xfId="3409"/>
    <cellStyle name="PSDate 4 3" xfId="3410"/>
    <cellStyle name="PSDate 5" xfId="3411"/>
    <cellStyle name="PSDate 5 2" xfId="3412"/>
    <cellStyle name="PSDate 5 2 2" xfId="3413"/>
    <cellStyle name="PSDate 5 3" xfId="3414"/>
    <cellStyle name="PSDate 6" xfId="3415"/>
    <cellStyle name="PSDec" xfId="65"/>
    <cellStyle name="PSDec 2" xfId="3416"/>
    <cellStyle name="PSDec 2 2" xfId="3417"/>
    <cellStyle name="PSDec 3" xfId="3418"/>
    <cellStyle name="PSDec 3 2" xfId="3419"/>
    <cellStyle name="PSDec 4" xfId="3420"/>
    <cellStyle name="PSDec 4 2" xfId="3421"/>
    <cellStyle name="PSDec 4 2 2" xfId="3422"/>
    <cellStyle name="PSDec 4 3" xfId="3423"/>
    <cellStyle name="PSDec 5" xfId="3424"/>
    <cellStyle name="PSDec 5 2" xfId="3425"/>
    <cellStyle name="PSDec 5 2 2" xfId="3426"/>
    <cellStyle name="PSDec 5 3" xfId="3427"/>
    <cellStyle name="PSDec 6" xfId="3428"/>
    <cellStyle name="PSHeading" xfId="66"/>
    <cellStyle name="PSHeading 2" xfId="3429"/>
    <cellStyle name="PSHeading 2 2" xfId="3430"/>
    <cellStyle name="PSHeading 3" xfId="3431"/>
    <cellStyle name="PSHeading 3 2" xfId="3432"/>
    <cellStyle name="PSHeading 4" xfId="3433"/>
    <cellStyle name="PSHeading 4 2" xfId="3434"/>
    <cellStyle name="PSHeading 4 2 2" xfId="3435"/>
    <cellStyle name="PSHeading 4 3" xfId="3436"/>
    <cellStyle name="PSHeading 4_I_Secondary" xfId="3437"/>
    <cellStyle name="PSHeading 5" xfId="3438"/>
    <cellStyle name="PSHeading 5 2" xfId="3439"/>
    <cellStyle name="PSHeading 5 2 2" xfId="3440"/>
    <cellStyle name="PSHeading 5 3" xfId="3441"/>
    <cellStyle name="PSHeading 5_I_Secondary" xfId="3442"/>
    <cellStyle name="PSHeading 6" xfId="3443"/>
    <cellStyle name="PSHeading_358_CGS_Lewis_UT_70Conserv" xfId="3444"/>
    <cellStyle name="PSInt" xfId="67"/>
    <cellStyle name="PSInt 2" xfId="3445"/>
    <cellStyle name="PSInt 2 2" xfId="3446"/>
    <cellStyle name="PSInt 3" xfId="3447"/>
    <cellStyle name="PSInt 3 2" xfId="3448"/>
    <cellStyle name="PSInt 4" xfId="3449"/>
    <cellStyle name="PSInt 4 2" xfId="3450"/>
    <cellStyle name="PSInt 4 2 2" xfId="3451"/>
    <cellStyle name="PSInt 4 3" xfId="3452"/>
    <cellStyle name="PSInt 5" xfId="3453"/>
    <cellStyle name="PSInt 5 2" xfId="3454"/>
    <cellStyle name="PSInt 5 2 2" xfId="3455"/>
    <cellStyle name="PSInt 5 3" xfId="3456"/>
    <cellStyle name="PSInt 6" xfId="3457"/>
    <cellStyle name="PSSpacer" xfId="68"/>
    <cellStyle name="PSSpacer 2" xfId="3458"/>
    <cellStyle name="PSSpacer 2 2" xfId="3459"/>
    <cellStyle name="PSSpacer 3" xfId="3460"/>
    <cellStyle name="PSSpacer 3 2" xfId="3461"/>
    <cellStyle name="PSSpacer 4" xfId="3462"/>
    <cellStyle name="PSSpacer 4 2" xfId="3463"/>
    <cellStyle name="PSSpacer 4 2 2" xfId="3464"/>
    <cellStyle name="PSSpacer 4 3" xfId="3465"/>
    <cellStyle name="PSSpacer 5" xfId="3466"/>
    <cellStyle name="PSSpacer 5 2" xfId="3467"/>
    <cellStyle name="PSSpacer 5 2 2" xfId="3468"/>
    <cellStyle name="PSSpacer 5 3" xfId="3469"/>
    <cellStyle name="PSSpacer 6" xfId="3470"/>
    <cellStyle name="Rate" xfId="3471"/>
    <cellStyle name="Rate 2" xfId="3472"/>
    <cellStyle name="Rate 3" xfId="3473"/>
    <cellStyle name="Rate 4" xfId="3474"/>
    <cellStyle name="Rate 4 2" xfId="3475"/>
    <cellStyle name="Rate 5" xfId="3476"/>
    <cellStyle name="Rate 5 2" xfId="3477"/>
    <cellStyle name="Rate 6" xfId="3478"/>
    <cellStyle name="Reference" xfId="3479"/>
    <cellStyle name="RevList" xfId="3480"/>
    <cellStyle name="round100" xfId="3481"/>
    <cellStyle name="round100 2" xfId="4386"/>
    <cellStyle name="SectionBreak" xfId="3482"/>
    <cellStyle name="SectionBreak 2" xfId="3483"/>
    <cellStyle name="SectionBreak 3" xfId="3484"/>
    <cellStyle name="SectionBreak 4" xfId="3485"/>
    <cellStyle name="SectionBreak 4 2" xfId="3486"/>
    <cellStyle name="SectionBreak 5" xfId="3487"/>
    <cellStyle name="SectionBreak 5 2" xfId="3488"/>
    <cellStyle name="shade" xfId="3489"/>
    <cellStyle name="shade 2" xfId="4387"/>
    <cellStyle name="StmtTtl1" xfId="3490"/>
    <cellStyle name="StmtTtl1 2" xfId="3769"/>
    <cellStyle name="StmtTtl2" xfId="3491"/>
    <cellStyle name="STYL1 - Style1" xfId="3492"/>
    <cellStyle name="Style 1" xfId="3493"/>
    <cellStyle name="Style 1 2" xfId="4388"/>
    <cellStyle name="Style 21" xfId="4533"/>
    <cellStyle name="Style 21 2" xfId="4534"/>
    <cellStyle name="Style 21 2 2" xfId="4564"/>
    <cellStyle name="Style 22" xfId="4535"/>
    <cellStyle name="Style 22 2" xfId="4536"/>
    <cellStyle name="Style 22 2 2" xfId="4565"/>
    <cellStyle name="Style 23" xfId="4537"/>
    <cellStyle name="Style 23 2" xfId="4538"/>
    <cellStyle name="Style 23 2 2" xfId="4566"/>
    <cellStyle name="Style 24" xfId="4539"/>
    <cellStyle name="Style 24 2" xfId="4540"/>
    <cellStyle name="Style 24 2 2" xfId="4567"/>
    <cellStyle name="Style 25" xfId="4541"/>
    <cellStyle name="Style 25 2" xfId="4542"/>
    <cellStyle name="Style 25 2 2" xfId="4568"/>
    <cellStyle name="Style 26" xfId="4543"/>
    <cellStyle name="Style 26 2" xfId="4544"/>
    <cellStyle name="Style 26 2 2" xfId="4569"/>
    <cellStyle name="Style 27" xfId="3494"/>
    <cellStyle name="Style 27 2" xfId="3495"/>
    <cellStyle name="Style 27 2 2" xfId="3496"/>
    <cellStyle name="Style 27 3" xfId="3497"/>
    <cellStyle name="Style 27 3 2" xfId="3498"/>
    <cellStyle name="Style 28" xfId="3499"/>
    <cellStyle name="Style 28 2" xfId="3500"/>
    <cellStyle name="Style 28 2 2" xfId="3501"/>
    <cellStyle name="Style 28 3" xfId="3502"/>
    <cellStyle name="Style 28 3 2" xfId="3503"/>
    <cellStyle name="styleColumnTitles" xfId="4545"/>
    <cellStyle name="styleColumnTitles 2" xfId="4546"/>
    <cellStyle name="styleColumnTitles 2 2" xfId="4570"/>
    <cellStyle name="styleDateRange" xfId="4547"/>
    <cellStyle name="styleDateRange 2" xfId="4548"/>
    <cellStyle name="styleDateRange 2 2" xfId="4571"/>
    <cellStyle name="styleHidden" xfId="4549"/>
    <cellStyle name="styleHidden 2" xfId="4550"/>
    <cellStyle name="styleHidden 2 2" xfId="4572"/>
    <cellStyle name="styleNormal" xfId="4551"/>
    <cellStyle name="styleNormal 2" xfId="4552"/>
    <cellStyle name="styleNormal 2 2" xfId="4573"/>
    <cellStyle name="styleSeriesAttributes" xfId="4553"/>
    <cellStyle name="styleSeriesAttributes 2" xfId="4554"/>
    <cellStyle name="styleSeriesAttributes 2 2" xfId="4574"/>
    <cellStyle name="styleSeriesData" xfId="4555"/>
    <cellStyle name="styleSeriesData 2" xfId="4556"/>
    <cellStyle name="styleSeriesData 2 2" xfId="4575"/>
    <cellStyle name="styleSeriesDataForecast" xfId="4557"/>
    <cellStyle name="styleSeriesDataForecast 2" xfId="4558"/>
    <cellStyle name="styleSeriesDataForecast 2 2" xfId="4576"/>
    <cellStyle name="styleSeriesDataForecastNA" xfId="4559"/>
    <cellStyle name="styleSeriesDataForecastNA 2" xfId="4560"/>
    <cellStyle name="styleSeriesDataForecastNA 2 2" xfId="4577"/>
    <cellStyle name="styleSeriesDataNA" xfId="4561"/>
    <cellStyle name="styleSeriesDataNA 2" xfId="4562"/>
    <cellStyle name="styleSeriesDataNA 2 2" xfId="4578"/>
    <cellStyle name="Subtotal" xfId="3504"/>
    <cellStyle name="Table Head" xfId="3505"/>
    <cellStyle name="Table Head Aligned" xfId="3506"/>
    <cellStyle name="Table Head Blue" xfId="3507"/>
    <cellStyle name="Table Head Green" xfId="3508"/>
    <cellStyle name="Table Heading" xfId="3509"/>
    <cellStyle name="Table Heading 2" xfId="3510"/>
    <cellStyle name="Table Title" xfId="3511"/>
    <cellStyle name="Table Units" xfId="3512"/>
    <cellStyle name="Table Units 2" xfId="3513"/>
    <cellStyle name="Table Units 2 2" xfId="3514"/>
    <cellStyle name="Table Units 3" xfId="3515"/>
    <cellStyle name="Table Units_I_Secondary" xfId="3516"/>
    <cellStyle name="Title" xfId="4602" builtinId="15" customBuiltin="1"/>
    <cellStyle name="Title 2" xfId="373"/>
    <cellStyle name="Title 2 2" xfId="3517"/>
    <cellStyle name="Title 2 2 2" xfId="3518"/>
    <cellStyle name="Title 2 2 3" xfId="3519"/>
    <cellStyle name="Title 2 2 4" xfId="3520"/>
    <cellStyle name="Title 2 3" xfId="3521"/>
    <cellStyle name="Title 2 4" xfId="3522"/>
    <cellStyle name="Title 2 5" xfId="3523"/>
    <cellStyle name="Title 2 6" xfId="3524"/>
    <cellStyle name="Title 2 6 2" xfId="3770"/>
    <cellStyle name="Title 3" xfId="374"/>
    <cellStyle name="Title 4" xfId="3525"/>
    <cellStyle name="Title 4 2" xfId="3526"/>
    <cellStyle name="Title 5" xfId="3527"/>
    <cellStyle name="Title 5 2" xfId="3528"/>
    <cellStyle name="Title: Minor" xfId="3529"/>
    <cellStyle name="Title: Worksheet" xfId="3530"/>
    <cellStyle name="Total" xfId="4614" builtinId="25" customBuiltin="1"/>
    <cellStyle name="Total 2" xfId="375"/>
    <cellStyle name="Total 2 2" xfId="376"/>
    <cellStyle name="Total 2 2 2" xfId="3531"/>
    <cellStyle name="Total 2 2 2 2" xfId="3532"/>
    <cellStyle name="Total 2 2 3" xfId="3533"/>
    <cellStyle name="Total 2 2 3 2" xfId="3534"/>
    <cellStyle name="Total 2 2 4" xfId="3535"/>
    <cellStyle name="Total 2 2 5" xfId="3536"/>
    <cellStyle name="Total 2 3" xfId="377"/>
    <cellStyle name="Total 2 3 2" xfId="3771"/>
    <cellStyle name="Total 2 4" xfId="3537"/>
    <cellStyle name="Total 2 5" xfId="3538"/>
    <cellStyle name="Total 2 6" xfId="3539"/>
    <cellStyle name="Total 2 6 2" xfId="3772"/>
    <cellStyle name="Total 2 7" xfId="3540"/>
    <cellStyle name="Total 2_QC" xfId="3541"/>
    <cellStyle name="Total 3" xfId="378"/>
    <cellStyle name="Total 3 2" xfId="3542"/>
    <cellStyle name="Total 3 3" xfId="3543"/>
    <cellStyle name="Total 4" xfId="379"/>
    <cellStyle name="Total 4 2" xfId="3544"/>
    <cellStyle name="Total 4 3" xfId="3545"/>
    <cellStyle name="Total 5" xfId="3546"/>
    <cellStyle name="Total 5 2" xfId="3547"/>
    <cellStyle name="Total 6" xfId="3548"/>
    <cellStyle name="Total 7" xfId="3549"/>
    <cellStyle name="Total 7 2" xfId="3550"/>
    <cellStyle name="Unprot" xfId="3551"/>
    <cellStyle name="Unprot 2" xfId="3552"/>
    <cellStyle name="Unprot$" xfId="3553"/>
    <cellStyle name="Unprot$ 2" xfId="3554"/>
    <cellStyle name="Unprot$ 2 2" xfId="3555"/>
    <cellStyle name="Unprot_Current Summary" xfId="3556"/>
    <cellStyle name="Unprotect" xfId="3557"/>
    <cellStyle name="v" xfId="380"/>
    <cellStyle name="v 2" xfId="3558"/>
    <cellStyle name="Warning Text" xfId="4612" builtinId="11" customBuiltin="1"/>
    <cellStyle name="Warning Text 2" xfId="381"/>
    <cellStyle name="Warning Text 2 2" xfId="382"/>
    <cellStyle name="Warning Text 2 2 2" xfId="3559"/>
    <cellStyle name="Warning Text 2 2 3" xfId="3560"/>
    <cellStyle name="Warning Text 2 3" xfId="383"/>
    <cellStyle name="Warning Text 2 3 2" xfId="3561"/>
    <cellStyle name="Warning Text 2 3 3" xfId="4733"/>
    <cellStyle name="Warning Text 2 4" xfId="3562"/>
    <cellStyle name="Warning Text 2 5" xfId="3563"/>
    <cellStyle name="Warning Text 2 6" xfId="3564"/>
    <cellStyle name="Warning Text 2 6 2" xfId="3773"/>
    <cellStyle name="Warning Text 3" xfId="384"/>
    <cellStyle name="Warning Text 3 2" xfId="3565"/>
    <cellStyle name="Warning Text 4" xfId="385"/>
    <cellStyle name="Warning Text 4 2" xfId="3566"/>
    <cellStyle name="Warning Text 4 3" xfId="4678"/>
    <cellStyle name="Warning Text 5" xfId="3567"/>
    <cellStyle name="Warning Text 6" xfId="3568"/>
    <cellStyle name="Warning Text 7" xfId="3569"/>
    <cellStyle name="Warning Text 7 2" xfId="357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E0FFA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customDataProps" Target="customData/itemProps1.xml"/><Relationship Id="rId27" Type="http://schemas.openxmlformats.org/officeDocument/2006/relationships/customXml" Target="../customXml/item4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sites/tsrevfst/2008SOY/Working%20Documents/Compare%202008%20Actuals%20to%20S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Combined Data"/>
      <sheetName val="Define Source"/>
    </sheetNames>
    <sheetDataSet>
      <sheetData sheetId="0" refreshError="1"/>
      <sheetData sheetId="1" refreshError="1"/>
      <sheetData sheetId="2">
        <row r="3">
          <cell r="B3" t="str">
            <v>2008 SOY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26"/>
  <sheetViews>
    <sheetView workbookViewId="0"/>
  </sheetViews>
  <sheetFormatPr defaultColWidth="9.33203125" defaultRowHeight="13.2"/>
  <cols>
    <col min="1" max="1" width="15.44140625" style="10" customWidth="1"/>
    <col min="2" max="2" width="12.6640625" style="11" customWidth="1"/>
    <col min="3" max="5" width="9.33203125" style="11"/>
    <col min="6" max="6" width="6.6640625" style="11" customWidth="1"/>
    <col min="7" max="7" width="10.44140625" style="11" bestFit="1" customWidth="1"/>
    <col min="8" max="16384" width="9.33203125" style="11"/>
  </cols>
  <sheetData>
    <row r="1" spans="1:21">
      <c r="A1" s="13" t="s">
        <v>421</v>
      </c>
      <c r="B1" s="874"/>
      <c r="C1" s="875"/>
      <c r="D1" s="875"/>
      <c r="E1" s="875"/>
      <c r="F1" s="875"/>
      <c r="G1" s="876"/>
      <c r="H1" s="877"/>
      <c r="I1" s="877"/>
      <c r="J1" s="877"/>
      <c r="K1" s="877"/>
      <c r="L1" s="877"/>
      <c r="M1" s="877"/>
      <c r="N1" s="194"/>
      <c r="O1" s="194"/>
      <c r="P1" s="194"/>
      <c r="Q1" s="194"/>
      <c r="R1" s="194"/>
      <c r="S1" s="194"/>
      <c r="T1" s="194"/>
      <c r="U1" s="194"/>
    </row>
    <row r="2" spans="1:21">
      <c r="A2" s="12">
        <v>2020</v>
      </c>
      <c r="B2" s="11" t="s">
        <v>462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1">
      <c r="A3" s="10">
        <f>+A2+1</f>
        <v>2021</v>
      </c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1">
      <c r="A4" s="10">
        <f>+A3+1</f>
        <v>2022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</row>
    <row r="5" spans="1:21">
      <c r="A5" s="10">
        <f>+A4+1</f>
        <v>2023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>
      <c r="A7" s="10" t="s">
        <v>525</v>
      </c>
      <c r="B7" s="11" t="s">
        <v>396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>
      <c r="A8" s="10" t="s">
        <v>526</v>
      </c>
      <c r="B8" s="11" t="s">
        <v>144</v>
      </c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>
      <c r="A9" s="10" t="s">
        <v>527</v>
      </c>
      <c r="B9" s="11" t="s">
        <v>528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>
      <c r="A10" s="10" t="s">
        <v>529</v>
      </c>
      <c r="B10" s="11" t="s">
        <v>530</v>
      </c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4"/>
      <c r="T10" s="194"/>
      <c r="U10" s="194"/>
    </row>
    <row r="11" spans="1:21">
      <c r="A11" s="10" t="s">
        <v>531</v>
      </c>
      <c r="B11" s="11" t="s">
        <v>532</v>
      </c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</row>
    <row r="12" spans="1:21">
      <c r="A12" s="10" t="s">
        <v>533</v>
      </c>
      <c r="B12" s="11" t="s">
        <v>547</v>
      </c>
      <c r="G12" s="199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</row>
    <row r="13" spans="1:21">
      <c r="A13" s="10" t="s">
        <v>534</v>
      </c>
      <c r="B13" s="11" t="s">
        <v>548</v>
      </c>
      <c r="G13" s="200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</row>
    <row r="14" spans="1:21">
      <c r="A14" s="10" t="s">
        <v>535</v>
      </c>
      <c r="B14" s="11" t="s">
        <v>549</v>
      </c>
      <c r="G14" s="200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spans="1:21">
      <c r="A15" s="10" t="s">
        <v>536</v>
      </c>
      <c r="B15" s="11" t="s">
        <v>550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</row>
    <row r="16" spans="1:21">
      <c r="A16" s="10" t="s">
        <v>541</v>
      </c>
      <c r="B16" s="11" t="s">
        <v>551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spans="1:18">
      <c r="A17" s="10" t="s">
        <v>542</v>
      </c>
      <c r="B17" s="11" t="s">
        <v>552</v>
      </c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>
      <c r="A18" s="10" t="s">
        <v>543</v>
      </c>
      <c r="B18" s="11" t="s">
        <v>544</v>
      </c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1:18">
      <c r="A19" s="10" t="s">
        <v>545</v>
      </c>
      <c r="B19" s="11" t="s">
        <v>546</v>
      </c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</row>
    <row r="20" spans="1:18">
      <c r="A20" s="191" t="s">
        <v>537</v>
      </c>
      <c r="B20" s="11" t="s">
        <v>538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</row>
    <row r="21" spans="1:18">
      <c r="A21" s="191" t="s">
        <v>539</v>
      </c>
      <c r="B21" s="11" t="s">
        <v>540</v>
      </c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1:18">
      <c r="A22" s="13"/>
      <c r="B22" s="193"/>
      <c r="C22" s="193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5" spans="1:18">
      <c r="A25" s="196" t="s">
        <v>553</v>
      </c>
    </row>
    <row r="26" spans="1:18">
      <c r="A26" s="197" t="s">
        <v>554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V53"/>
  <sheetViews>
    <sheetView tabSelected="1" zoomScale="80" zoomScaleNormal="80" workbookViewId="0">
      <selection activeCell="M21" sqref="M21"/>
    </sheetView>
  </sheetViews>
  <sheetFormatPr defaultColWidth="8" defaultRowHeight="13.8"/>
  <cols>
    <col min="1" max="1" width="5.33203125" style="5" customWidth="1"/>
    <col min="2" max="2" width="51" style="6" customWidth="1"/>
    <col min="3" max="3" width="14.5546875" style="7" bestFit="1" customWidth="1"/>
    <col min="4" max="4" width="20.33203125" style="7" customWidth="1"/>
    <col min="5" max="5" width="19" style="7" customWidth="1"/>
    <col min="6" max="9" width="13" style="7" customWidth="1"/>
    <col min="10" max="10" width="13.44140625" style="7" customWidth="1"/>
    <col min="11" max="11" width="20" style="1" customWidth="1"/>
    <col min="12" max="12" width="20.5546875" style="1" customWidth="1"/>
    <col min="13" max="13" width="9.88671875" style="1" customWidth="1"/>
    <col min="14" max="16" width="8" style="1"/>
    <col min="17" max="17" width="8.33203125" style="1" bestFit="1" customWidth="1"/>
    <col min="18" max="19" width="8" style="1"/>
    <col min="20" max="20" width="11.44140625" style="1" bestFit="1" customWidth="1"/>
    <col min="21" max="21" width="12.5546875" style="1" bestFit="1" customWidth="1"/>
    <col min="22" max="16384" width="8" style="1"/>
  </cols>
  <sheetData>
    <row r="1" spans="1:21" ht="20.25" customHeight="1">
      <c r="A1" s="900" t="s">
        <v>209</v>
      </c>
      <c r="B1" s="900"/>
      <c r="C1" s="900"/>
      <c r="D1" s="900"/>
      <c r="E1" s="900"/>
      <c r="F1" s="900"/>
      <c r="G1" s="900"/>
      <c r="H1" s="900"/>
      <c r="I1" s="900"/>
      <c r="J1" s="900"/>
    </row>
    <row r="2" spans="1:21" ht="20.25" customHeight="1">
      <c r="A2" s="900" t="s">
        <v>210</v>
      </c>
      <c r="B2" s="900"/>
      <c r="C2" s="900"/>
      <c r="D2" s="900"/>
      <c r="E2" s="900"/>
      <c r="F2" s="900"/>
      <c r="G2" s="900"/>
      <c r="H2" s="900"/>
      <c r="I2" s="900"/>
      <c r="J2" s="900"/>
      <c r="K2" s="198"/>
    </row>
    <row r="3" spans="1:21" ht="20.25" customHeight="1">
      <c r="A3" s="901" t="s">
        <v>215</v>
      </c>
      <c r="B3" s="902"/>
      <c r="C3" s="902"/>
      <c r="D3" s="902"/>
      <c r="E3" s="902"/>
      <c r="F3" s="902"/>
      <c r="G3" s="902"/>
      <c r="H3" s="902"/>
      <c r="I3" s="902"/>
      <c r="J3" s="902"/>
      <c r="K3" s="205"/>
      <c r="L3" s="205"/>
      <c r="M3" s="205"/>
      <c r="N3" s="205"/>
      <c r="O3" s="205"/>
      <c r="P3" s="205"/>
      <c r="Q3" s="205"/>
    </row>
    <row r="4" spans="1:21">
      <c r="A4" s="745"/>
      <c r="B4" s="746" t="s">
        <v>0</v>
      </c>
      <c r="C4" s="746" t="s">
        <v>1</v>
      </c>
      <c r="D4" s="746" t="s">
        <v>2</v>
      </c>
      <c r="E4" s="746" t="s">
        <v>3</v>
      </c>
      <c r="F4" s="746" t="s">
        <v>4</v>
      </c>
      <c r="G4" s="746" t="s">
        <v>5</v>
      </c>
      <c r="H4" s="746" t="s">
        <v>6</v>
      </c>
      <c r="I4" s="746" t="s">
        <v>7</v>
      </c>
      <c r="J4" s="746" t="s">
        <v>39</v>
      </c>
      <c r="K4" s="205"/>
      <c r="L4" s="776"/>
      <c r="M4" s="205"/>
      <c r="N4" s="205"/>
      <c r="O4" s="205"/>
      <c r="P4" s="205"/>
      <c r="Q4" s="205"/>
    </row>
    <row r="5" spans="1:21">
      <c r="A5" s="747"/>
      <c r="B5" s="748"/>
      <c r="C5" s="749"/>
      <c r="D5" s="749" t="s">
        <v>8</v>
      </c>
      <c r="E5" s="750" t="s">
        <v>9</v>
      </c>
      <c r="F5" s="751" t="s">
        <v>11</v>
      </c>
      <c r="G5" s="751"/>
      <c r="H5" s="903" t="s">
        <v>10</v>
      </c>
      <c r="I5" s="903"/>
      <c r="J5" s="749" t="s">
        <v>12</v>
      </c>
      <c r="K5" s="205"/>
      <c r="L5" s="205"/>
      <c r="M5" s="205"/>
      <c r="N5" s="205"/>
      <c r="O5" s="205"/>
      <c r="P5" s="777"/>
      <c r="Q5" s="205"/>
    </row>
    <row r="6" spans="1:21">
      <c r="A6" s="745"/>
      <c r="B6" s="752"/>
      <c r="C6" s="753" t="s">
        <v>13</v>
      </c>
      <c r="D6" s="754" t="s">
        <v>14</v>
      </c>
      <c r="E6" s="754" t="s">
        <v>15</v>
      </c>
      <c r="F6" s="754" t="s">
        <v>18</v>
      </c>
      <c r="G6" s="754" t="s">
        <v>19</v>
      </c>
      <c r="H6" s="754" t="s">
        <v>16</v>
      </c>
      <c r="I6" s="754" t="s">
        <v>17</v>
      </c>
      <c r="J6" s="754" t="s">
        <v>361</v>
      </c>
      <c r="K6" s="205"/>
      <c r="L6" s="205"/>
      <c r="M6" s="205"/>
      <c r="N6" s="205"/>
      <c r="O6" s="205"/>
      <c r="P6" s="205"/>
      <c r="Q6" s="205"/>
    </row>
    <row r="7" spans="1:21">
      <c r="A7" s="755">
        <f>MAX($A$4:A6)+1</f>
        <v>1</v>
      </c>
      <c r="B7" s="756" t="str">
        <f>+CONCATENATE("FY"&amp;" "&amp;Input!$A$4)</f>
        <v>FY 2022</v>
      </c>
      <c r="C7" s="757"/>
      <c r="D7" s="758"/>
      <c r="E7" s="758"/>
      <c r="F7" s="758"/>
      <c r="G7" s="758"/>
      <c r="H7" s="758"/>
      <c r="I7" s="758"/>
      <c r="J7" s="759"/>
      <c r="K7" s="205"/>
      <c r="L7" s="778"/>
      <c r="M7" s="205"/>
      <c r="N7" s="205"/>
      <c r="O7" s="205"/>
      <c r="P7" s="205"/>
      <c r="Q7" s="205"/>
    </row>
    <row r="8" spans="1:21">
      <c r="A8" s="755">
        <f>MAX($A$4:A7)+1</f>
        <v>2</v>
      </c>
      <c r="B8" s="760" t="s">
        <v>135</v>
      </c>
      <c r="C8" s="761">
        <f>SUM(D8:J8)</f>
        <v>6517136.0171570964</v>
      </c>
      <c r="D8" s="761">
        <v>105573.5685453015</v>
      </c>
      <c r="E8" s="761">
        <v>5362762.859427697</v>
      </c>
      <c r="F8" s="761">
        <v>737166.55195654207</v>
      </c>
      <c r="G8" s="761">
        <v>85244.430533283157</v>
      </c>
      <c r="H8" s="761">
        <v>14660.703273572326</v>
      </c>
      <c r="I8" s="761">
        <v>6318.7206196406487</v>
      </c>
      <c r="J8" s="761">
        <v>205409.18280106012</v>
      </c>
      <c r="K8" s="205"/>
      <c r="L8" s="205"/>
      <c r="M8" s="205"/>
      <c r="N8" s="205"/>
      <c r="O8" s="205"/>
      <c r="P8" s="205"/>
      <c r="Q8" s="205"/>
    </row>
    <row r="9" spans="1:21" s="2" customFormat="1" ht="20.25" customHeight="1">
      <c r="A9" s="755">
        <f>MAX($A$4:A8)+1</f>
        <v>3</v>
      </c>
      <c r="B9" s="762" t="s">
        <v>136</v>
      </c>
      <c r="C9" s="763"/>
      <c r="D9" s="764">
        <f t="shared" ref="D9:J9" si="0">D8/$C$8</f>
        <v>1.619938087334178E-2</v>
      </c>
      <c r="E9" s="764">
        <f t="shared" si="0"/>
        <v>0.82287109633888544</v>
      </c>
      <c r="F9" s="764">
        <f>F8/$C$8</f>
        <v>0.1131120403219862</v>
      </c>
      <c r="G9" s="764">
        <f>G8/$C$8</f>
        <v>1.3080044717321776E-2</v>
      </c>
      <c r="H9" s="764">
        <f t="shared" si="0"/>
        <v>2.2495622670719731E-3</v>
      </c>
      <c r="I9" s="764">
        <f t="shared" si="0"/>
        <v>9.6955481717826719E-4</v>
      </c>
      <c r="J9" s="764">
        <f t="shared" si="0"/>
        <v>3.1518320664214658E-2</v>
      </c>
      <c r="K9" s="206"/>
      <c r="L9" s="205"/>
      <c r="M9" s="206"/>
      <c r="N9" s="206"/>
      <c r="O9" s="206"/>
      <c r="P9" s="206"/>
      <c r="Q9" s="206"/>
      <c r="R9" s="207"/>
      <c r="S9" s="207"/>
      <c r="T9" s="207"/>
      <c r="U9" s="207"/>
    </row>
    <row r="10" spans="1:21">
      <c r="A10" s="755">
        <f>MAX($A$4:A9)+1</f>
        <v>4</v>
      </c>
      <c r="B10" s="760" t="s">
        <v>21</v>
      </c>
      <c r="C10" s="765">
        <f t="shared" ref="C10:C14" si="1">SUM(D10:J10)</f>
        <v>506035.96727999998</v>
      </c>
      <c r="D10" s="766">
        <v>7847.346469740618</v>
      </c>
      <c r="E10" s="766">
        <v>312403.80406965187</v>
      </c>
      <c r="F10" s="766">
        <v>41464.419824130586</v>
      </c>
      <c r="G10" s="766">
        <v>5747.4965441098138</v>
      </c>
      <c r="H10" s="766">
        <v>2243.4769526758528</v>
      </c>
      <c r="I10" s="766">
        <v>796.0449852102879</v>
      </c>
      <c r="J10" s="766">
        <v>135533.37843448092</v>
      </c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" spans="1:21">
      <c r="A11" s="755">
        <f>MAX($A$4:A10)+1</f>
        <v>5</v>
      </c>
      <c r="B11" s="760" t="s">
        <v>124</v>
      </c>
      <c r="C11" s="765">
        <f t="shared" si="1"/>
        <v>109596.63737083001</v>
      </c>
      <c r="D11" s="767">
        <v>59.043532261233807</v>
      </c>
      <c r="E11" s="767">
        <v>16881.216155598231</v>
      </c>
      <c r="F11" s="767">
        <v>1202.1134852113519</v>
      </c>
      <c r="G11" s="767">
        <v>25.534383426963203</v>
      </c>
      <c r="H11" s="767">
        <v>330.41680632086241</v>
      </c>
      <c r="I11" s="767">
        <v>7.0196342077415945</v>
      </c>
      <c r="J11" s="767">
        <v>91091.293373803623</v>
      </c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</row>
    <row r="12" spans="1:21">
      <c r="A12" s="755">
        <f>MAX($A$4:A11)+1</f>
        <v>6</v>
      </c>
      <c r="B12" s="760" t="s">
        <v>22</v>
      </c>
      <c r="C12" s="765">
        <f t="shared" si="1"/>
        <v>345302.9200034056</v>
      </c>
      <c r="D12" s="767">
        <v>4588.9787978605173</v>
      </c>
      <c r="E12" s="767">
        <v>268815.15368898853</v>
      </c>
      <c r="F12" s="767">
        <v>33859.68970071002</v>
      </c>
      <c r="G12" s="767">
        <v>4208.6825232712627</v>
      </c>
      <c r="H12" s="767">
        <v>779.20412673208762</v>
      </c>
      <c r="I12" s="767">
        <v>308.42307888584901</v>
      </c>
      <c r="J12" s="767">
        <v>32742.78808695744</v>
      </c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</row>
    <row r="13" spans="1:21">
      <c r="A13" s="755">
        <f>MAX($A$4:A12)+1</f>
        <v>7</v>
      </c>
      <c r="B13" s="760" t="s">
        <v>111</v>
      </c>
      <c r="C13" s="765">
        <f t="shared" si="1"/>
        <v>142210.31407916016</v>
      </c>
      <c r="D13" s="767">
        <v>2233.9969428132645</v>
      </c>
      <c r="E13" s="767">
        <v>117783.11946248313</v>
      </c>
      <c r="F13" s="767">
        <v>15598.864811588313</v>
      </c>
      <c r="G13" s="767">
        <v>1803.8207841908506</v>
      </c>
      <c r="H13" s="767">
        <v>310.22884557131522</v>
      </c>
      <c r="I13" s="767">
        <v>133.70773330174197</v>
      </c>
      <c r="J13" s="767">
        <v>4346.5754992115562</v>
      </c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</row>
    <row r="14" spans="1:21">
      <c r="A14" s="755">
        <f>MAX($A$4:A13)+1</f>
        <v>8</v>
      </c>
      <c r="B14" s="760" t="s">
        <v>107</v>
      </c>
      <c r="C14" s="768">
        <f t="shared" si="1"/>
        <v>40022.921330264951</v>
      </c>
      <c r="D14" s="768">
        <v>301.42511841321442</v>
      </c>
      <c r="E14" s="768">
        <v>36727.048409077172</v>
      </c>
      <c r="F14" s="768">
        <v>2104.6983470906894</v>
      </c>
      <c r="G14" s="768">
        <v>243.3830069553469</v>
      </c>
      <c r="H14" s="768">
        <v>41.858054825164942</v>
      </c>
      <c r="I14" s="768">
        <v>18.04070031200974</v>
      </c>
      <c r="J14" s="768">
        <v>586.46769359134896</v>
      </c>
      <c r="K14" s="208"/>
      <c r="L14" s="209"/>
      <c r="M14" s="205"/>
      <c r="N14" s="205"/>
      <c r="O14" s="210"/>
      <c r="P14" s="210"/>
      <c r="Q14" s="211"/>
      <c r="R14" s="205"/>
      <c r="S14" s="205"/>
      <c r="T14" s="205"/>
      <c r="U14" s="212"/>
    </row>
    <row r="15" spans="1:21">
      <c r="A15" s="755">
        <f>MAX($A$4:A14)+1</f>
        <v>9</v>
      </c>
      <c r="B15" s="769" t="s">
        <v>125</v>
      </c>
      <c r="C15" s="770">
        <f>SUM(D15:J15)</f>
        <v>1143168.7600636608</v>
      </c>
      <c r="D15" s="770">
        <f>SUM(D10:D14)</f>
        <v>15030.790861088846</v>
      </c>
      <c r="E15" s="770">
        <f t="shared" ref="E15:J15" si="2">SUM(E10:E14)</f>
        <v>752610.3417857989</v>
      </c>
      <c r="F15" s="770">
        <f t="shared" si="2"/>
        <v>94229.786168730963</v>
      </c>
      <c r="G15" s="770">
        <f t="shared" si="2"/>
        <v>12028.917241954237</v>
      </c>
      <c r="H15" s="770">
        <f t="shared" si="2"/>
        <v>3705.1847861252827</v>
      </c>
      <c r="I15" s="770">
        <f t="shared" si="2"/>
        <v>1263.23613191763</v>
      </c>
      <c r="J15" s="770">
        <f t="shared" si="2"/>
        <v>264300.50308804493</v>
      </c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</row>
    <row r="16" spans="1:21" s="3" customFormat="1" ht="24.75" customHeight="1">
      <c r="A16" s="755">
        <f>MAX($A$4:A15)+1</f>
        <v>10</v>
      </c>
      <c r="B16" s="771" t="str">
        <f>+CONCATENATE("FY"&amp;" "&amp;Input!$A$4+1)</f>
        <v>FY 2023</v>
      </c>
      <c r="C16" s="772"/>
      <c r="D16" s="772"/>
      <c r="E16" s="772"/>
      <c r="F16" s="772"/>
      <c r="G16" s="772"/>
      <c r="H16" s="772"/>
      <c r="I16" s="772"/>
      <c r="J16" s="772"/>
      <c r="K16" s="213"/>
      <c r="L16" s="214"/>
      <c r="M16" s="215"/>
      <c r="N16" s="205"/>
      <c r="O16" s="214"/>
      <c r="P16" s="214"/>
      <c r="Q16" s="215"/>
      <c r="R16" s="205"/>
      <c r="S16" s="213"/>
      <c r="T16" s="213"/>
      <c r="U16" s="216"/>
    </row>
    <row r="17" spans="1:22">
      <c r="A17" s="755">
        <f>MAX($A$4:A16)+1</f>
        <v>11</v>
      </c>
      <c r="B17" s="760" t="s">
        <v>135</v>
      </c>
      <c r="C17" s="761">
        <f>SUM(D17:J17)</f>
        <v>6619780.5691555776</v>
      </c>
      <c r="D17" s="761">
        <v>101582.33779558937</v>
      </c>
      <c r="E17" s="761">
        <v>5423357.1699967328</v>
      </c>
      <c r="F17" s="761">
        <v>717586.28647830954</v>
      </c>
      <c r="G17" s="761">
        <v>81357.202524775537</v>
      </c>
      <c r="H17" s="761">
        <v>14144.586068489683</v>
      </c>
      <c r="I17" s="761">
        <v>6097.7832873717307</v>
      </c>
      <c r="J17" s="761">
        <v>275655.20300430944</v>
      </c>
      <c r="K17" s="205"/>
      <c r="L17" s="205"/>
      <c r="M17" s="205"/>
      <c r="N17" s="205"/>
      <c r="O17" s="205"/>
      <c r="P17" s="205"/>
      <c r="Q17" s="205"/>
    </row>
    <row r="18" spans="1:22" s="2" customFormat="1" ht="20.25" customHeight="1">
      <c r="A18" s="755">
        <f>MAX($A$4:A17)+1</f>
        <v>12</v>
      </c>
      <c r="B18" s="762" t="s">
        <v>136</v>
      </c>
      <c r="C18" s="773"/>
      <c r="D18" s="764">
        <f>D17/$C$17</f>
        <v>1.5345272661892366E-2</v>
      </c>
      <c r="E18" s="764">
        <f t="shared" ref="E18:J18" si="3">E17/$C$17</f>
        <v>0.81926539910801588</v>
      </c>
      <c r="F18" s="764">
        <f>F17/$C$17</f>
        <v>0.10840031311941888</v>
      </c>
      <c r="G18" s="764">
        <f>G17/$C$17</f>
        <v>1.2290015005006956E-2</v>
      </c>
      <c r="H18" s="764">
        <f t="shared" si="3"/>
        <v>2.1367152461813357E-3</v>
      </c>
      <c r="I18" s="764">
        <f t="shared" si="3"/>
        <v>9.2114583310871998E-4</v>
      </c>
      <c r="J18" s="764">
        <f t="shared" si="3"/>
        <v>4.1641139026375937E-2</v>
      </c>
      <c r="K18" s="206"/>
      <c r="L18" s="205"/>
      <c r="M18" s="206"/>
      <c r="N18" s="206"/>
      <c r="O18" s="206"/>
      <c r="P18" s="206"/>
      <c r="Q18" s="206"/>
    </row>
    <row r="19" spans="1:22">
      <c r="A19" s="755">
        <f>MAX($A$4:A18)+1</f>
        <v>13</v>
      </c>
      <c r="B19" s="760" t="s">
        <v>21</v>
      </c>
      <c r="C19" s="766">
        <f t="shared" ref="C19:C23" si="4">SUM(D19:J19)</f>
        <v>513230.7246299999</v>
      </c>
      <c r="D19" s="766">
        <v>7958.0166755204691</v>
      </c>
      <c r="E19" s="766">
        <v>316811.30749806471</v>
      </c>
      <c r="F19" s="766">
        <v>42049.187667907259</v>
      </c>
      <c r="G19" s="766">
        <v>5828.5528129655759</v>
      </c>
      <c r="H19" s="766">
        <v>2275.1164446968041</v>
      </c>
      <c r="I19" s="766">
        <v>807.27151416029005</v>
      </c>
      <c r="J19" s="766">
        <v>137501.27201668482</v>
      </c>
      <c r="K19" s="205"/>
      <c r="L19" s="205"/>
      <c r="M19" s="205"/>
      <c r="N19" s="205"/>
      <c r="O19" s="205"/>
      <c r="P19" s="205"/>
      <c r="Q19" s="205"/>
    </row>
    <row r="20" spans="1:22">
      <c r="A20" s="755">
        <f>MAX($A$4:A19)+1</f>
        <v>14</v>
      </c>
      <c r="B20" s="760" t="s">
        <v>124</v>
      </c>
      <c r="C20" s="767">
        <f t="shared" si="4"/>
        <v>110278.04732083001</v>
      </c>
      <c r="D20" s="767">
        <v>58.9745517597458</v>
      </c>
      <c r="E20" s="767">
        <v>17467.308748348743</v>
      </c>
      <c r="F20" s="767">
        <v>1279.5610872497759</v>
      </c>
      <c r="G20" s="767">
        <v>36.258549182389359</v>
      </c>
      <c r="H20" s="767">
        <v>330.4076920171683</v>
      </c>
      <c r="I20" s="767">
        <v>7.0157244220313206</v>
      </c>
      <c r="J20" s="767">
        <v>91098.520967850156</v>
      </c>
    </row>
    <row r="21" spans="1:22">
      <c r="A21" s="755">
        <f>MAX($A$4:A20)+1</f>
        <v>15</v>
      </c>
      <c r="B21" s="760" t="s">
        <v>22</v>
      </c>
      <c r="C21" s="767">
        <f t="shared" si="4"/>
        <v>349991.26402862382</v>
      </c>
      <c r="D21" s="767">
        <v>4562.7499513165167</v>
      </c>
      <c r="E21" s="767">
        <v>275734.23162225034</v>
      </c>
      <c r="F21" s="767">
        <v>33721.099680657157</v>
      </c>
      <c r="G21" s="767">
        <v>4189.4721818585422</v>
      </c>
      <c r="H21" s="767">
        <v>771.70556490056447</v>
      </c>
      <c r="I21" s="767">
        <v>305.76239073607604</v>
      </c>
      <c r="J21" s="767">
        <v>30706.24263690459</v>
      </c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</row>
    <row r="22" spans="1:22">
      <c r="A22" s="755">
        <f>MAX($A$4:A21)+1</f>
        <v>16</v>
      </c>
      <c r="B22" s="760" t="s">
        <v>111</v>
      </c>
      <c r="C22" s="767">
        <f t="shared" si="4"/>
        <v>145920.03689345135</v>
      </c>
      <c r="D22" s="767">
        <v>2181.8475931528569</v>
      </c>
      <c r="E22" s="767">
        <v>120222.52322626906</v>
      </c>
      <c r="F22" s="767">
        <v>15412.75723721507</v>
      </c>
      <c r="G22" s="767">
        <v>1747.4397652820935</v>
      </c>
      <c r="H22" s="767">
        <v>303.80607238808415</v>
      </c>
      <c r="I22" s="767">
        <v>130.97191970411015</v>
      </c>
      <c r="J22" s="767">
        <v>5920.6910794400783</v>
      </c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</row>
    <row r="23" spans="1:22">
      <c r="A23" s="755">
        <f>MAX($A$4:A22)+1</f>
        <v>17</v>
      </c>
      <c r="B23" s="760" t="s">
        <v>107</v>
      </c>
      <c r="C23" s="768">
        <f t="shared" si="4"/>
        <v>40012.201427157743</v>
      </c>
      <c r="D23" s="768">
        <v>313.80042441950161</v>
      </c>
      <c r="E23" s="768">
        <v>36316.301346604858</v>
      </c>
      <c r="F23" s="768">
        <v>2216.7129260957477</v>
      </c>
      <c r="G23" s="768">
        <v>251.32247628747132</v>
      </c>
      <c r="H23" s="768">
        <v>43.694378450531701</v>
      </c>
      <c r="I23" s="768">
        <v>18.836807904990696</v>
      </c>
      <c r="J23" s="768">
        <v>851.53306739463494</v>
      </c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</row>
    <row r="24" spans="1:22">
      <c r="A24" s="755">
        <f>MAX($A$4:A23)+1</f>
        <v>18</v>
      </c>
      <c r="B24" s="769" t="s">
        <v>125</v>
      </c>
      <c r="C24" s="770">
        <f>SUM(D24:J24)</f>
        <v>1159432.2743000628</v>
      </c>
      <c r="D24" s="770">
        <f>SUM(D19:D23)</f>
        <v>15075.38919616909</v>
      </c>
      <c r="E24" s="770">
        <f t="shared" ref="E24" si="5">SUM(E19:E23)</f>
        <v>766551.67244153761</v>
      </c>
      <c r="F24" s="770">
        <f t="shared" ref="F24" si="6">SUM(F19:F23)</f>
        <v>94679.318599125021</v>
      </c>
      <c r="G24" s="770">
        <f t="shared" ref="G24" si="7">SUM(G19:G23)</f>
        <v>12053.045785576071</v>
      </c>
      <c r="H24" s="770">
        <f t="shared" ref="H24" si="8">SUM(H19:H23)</f>
        <v>3724.7301524531522</v>
      </c>
      <c r="I24" s="770">
        <f t="shared" ref="I24" si="9">SUM(I19:I23)</f>
        <v>1269.8583569274983</v>
      </c>
      <c r="J24" s="770">
        <f t="shared" ref="J24" si="10">SUM(J19:J23)</f>
        <v>266078.25976827426</v>
      </c>
      <c r="K24" s="208"/>
      <c r="L24" s="209"/>
      <c r="M24" s="205"/>
      <c r="N24" s="205"/>
      <c r="O24" s="210"/>
      <c r="P24" s="210"/>
      <c r="Q24" s="211"/>
      <c r="R24" s="205"/>
      <c r="S24" s="205"/>
      <c r="T24" s="205"/>
      <c r="U24" s="212"/>
      <c r="V24" s="205"/>
    </row>
    <row r="25" spans="1:22" ht="25.5" customHeight="1">
      <c r="A25" s="755">
        <f>MAX($A$4:A24)+1</f>
        <v>19</v>
      </c>
      <c r="B25" s="771" t="s">
        <v>112</v>
      </c>
      <c r="C25" s="770"/>
      <c r="D25" s="770"/>
      <c r="E25" s="770"/>
      <c r="F25" s="770"/>
      <c r="G25" s="770"/>
      <c r="H25" s="770"/>
      <c r="I25" s="770"/>
      <c r="J25" s="770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</row>
    <row r="26" spans="1:22">
      <c r="A26" s="755">
        <f>MAX($A$4:A25)+1</f>
        <v>20</v>
      </c>
      <c r="B26" s="760" t="s">
        <v>135</v>
      </c>
      <c r="C26" s="765">
        <f>SUM(D26:J26)</f>
        <v>6568458.293156337</v>
      </c>
      <c r="D26" s="765">
        <f>AVERAGE(D8,D17)</f>
        <v>103577.95317044543</v>
      </c>
      <c r="E26" s="765">
        <f t="shared" ref="E26:I26" si="11">AVERAGE(E8,E17)</f>
        <v>5393060.0147122145</v>
      </c>
      <c r="F26" s="765">
        <f t="shared" si="11"/>
        <v>727376.41921742586</v>
      </c>
      <c r="G26" s="765">
        <f t="shared" si="11"/>
        <v>83300.81652902934</v>
      </c>
      <c r="H26" s="765">
        <f t="shared" si="11"/>
        <v>14402.644671031005</v>
      </c>
      <c r="I26" s="765">
        <f t="shared" si="11"/>
        <v>6208.2519535061892</v>
      </c>
      <c r="J26" s="765">
        <f>AVERAGE(J8,J17)</f>
        <v>240532.19290268479</v>
      </c>
      <c r="K26" s="205"/>
      <c r="L26" s="205"/>
      <c r="M26" s="205"/>
      <c r="N26" s="205"/>
      <c r="O26" s="210"/>
      <c r="P26" s="210"/>
      <c r="Q26" s="211"/>
      <c r="R26" s="205"/>
      <c r="S26" s="205"/>
      <c r="T26" s="205"/>
      <c r="U26" s="208"/>
      <c r="V26" s="205"/>
    </row>
    <row r="27" spans="1:22" s="2" customFormat="1" ht="20.25" customHeight="1">
      <c r="A27" s="755">
        <f>MAX($A$4:A26)+1</f>
        <v>21</v>
      </c>
      <c r="B27" s="762" t="s">
        <v>136</v>
      </c>
      <c r="C27" s="773"/>
      <c r="D27" s="774">
        <f>D26/$C$26</f>
        <v>1.5768990004604747E-2</v>
      </c>
      <c r="E27" s="774">
        <f t="shared" ref="E27:J27" si="12">E26/$C$26</f>
        <v>0.82105416126813691</v>
      </c>
      <c r="F27" s="774">
        <f>F26/$C$26</f>
        <v>0.11073776931419019</v>
      </c>
      <c r="G27" s="774">
        <f>G26/$C$26</f>
        <v>1.2681943435009748E-2</v>
      </c>
      <c r="H27" s="774">
        <f t="shared" si="12"/>
        <v>2.1926978947308063E-3</v>
      </c>
      <c r="I27" s="774">
        <f t="shared" si="12"/>
        <v>9.4516120471900599E-4</v>
      </c>
      <c r="J27" s="774">
        <f t="shared" si="12"/>
        <v>3.6619276878608602E-2</v>
      </c>
      <c r="K27" s="206"/>
      <c r="L27" s="206"/>
      <c r="M27" s="206"/>
      <c r="N27" s="206"/>
      <c r="O27" s="206"/>
      <c r="P27" s="206"/>
      <c r="Q27" s="206"/>
      <c r="R27" s="207"/>
      <c r="S27" s="207"/>
      <c r="T27" s="207"/>
      <c r="U27" s="207"/>
      <c r="V27" s="207"/>
    </row>
    <row r="28" spans="1:22">
      <c r="A28" s="755">
        <f>MAX($A$4:A27)+1</f>
        <v>22</v>
      </c>
      <c r="B28" s="760" t="str">
        <f>B10</f>
        <v>Operations &amp; Maintenance</v>
      </c>
      <c r="C28" s="766">
        <f t="shared" ref="C28:C33" si="13">SUM(D28:J28)</f>
        <v>509633.34595499991</v>
      </c>
      <c r="D28" s="765">
        <f t="shared" ref="D28:J33" si="14">AVERAGE(D10,D19)</f>
        <v>7902.6815726305431</v>
      </c>
      <c r="E28" s="765">
        <f t="shared" si="14"/>
        <v>314607.55578385829</v>
      </c>
      <c r="F28" s="765">
        <f t="shared" si="14"/>
        <v>41756.803746018923</v>
      </c>
      <c r="G28" s="765">
        <f t="shared" si="14"/>
        <v>5788.0246785376949</v>
      </c>
      <c r="H28" s="765">
        <f t="shared" si="14"/>
        <v>2259.2966986863285</v>
      </c>
      <c r="I28" s="765">
        <f t="shared" si="14"/>
        <v>801.65824968528898</v>
      </c>
      <c r="J28" s="765">
        <f t="shared" si="14"/>
        <v>136517.32522558287</v>
      </c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</row>
    <row r="29" spans="1:22">
      <c r="A29" s="755">
        <f>MAX($A$4:A28)+1</f>
        <v>23</v>
      </c>
      <c r="B29" s="760" t="str">
        <f>B11</f>
        <v>Transmission Acquisition &amp; Ancillary Services</v>
      </c>
      <c r="C29" s="765">
        <f t="shared" si="13"/>
        <v>109937.34234583001</v>
      </c>
      <c r="D29" s="765">
        <f t="shared" si="14"/>
        <v>59.009042010489807</v>
      </c>
      <c r="E29" s="765">
        <f t="shared" si="14"/>
        <v>17174.262451973489</v>
      </c>
      <c r="F29" s="765">
        <f t="shared" si="14"/>
        <v>1240.8372862305639</v>
      </c>
      <c r="G29" s="765">
        <f t="shared" si="14"/>
        <v>30.896466304676281</v>
      </c>
      <c r="H29" s="765">
        <f t="shared" si="14"/>
        <v>330.41224916901535</v>
      </c>
      <c r="I29" s="765">
        <f t="shared" si="14"/>
        <v>7.0176793148864576</v>
      </c>
      <c r="J29" s="765">
        <f t="shared" si="14"/>
        <v>91094.907170826889</v>
      </c>
      <c r="K29" s="205"/>
      <c r="L29" s="205"/>
      <c r="M29" s="210"/>
      <c r="N29" s="210"/>
      <c r="O29" s="210"/>
      <c r="P29" s="210"/>
      <c r="Q29" s="210"/>
      <c r="R29" s="205"/>
      <c r="S29" s="205"/>
      <c r="T29" s="205"/>
      <c r="U29" s="205"/>
      <c r="V29" s="205"/>
    </row>
    <row r="30" spans="1:22">
      <c r="A30" s="755">
        <f>MAX($A$4:A29)+1</f>
        <v>24</v>
      </c>
      <c r="B30" s="760" t="str">
        <f>B12</f>
        <v>Depreciation</v>
      </c>
      <c r="C30" s="765">
        <f t="shared" si="13"/>
        <v>347647.09201601474</v>
      </c>
      <c r="D30" s="765">
        <f t="shared" si="14"/>
        <v>4575.8643745885165</v>
      </c>
      <c r="E30" s="765">
        <f t="shared" si="14"/>
        <v>272274.69265561947</v>
      </c>
      <c r="F30" s="765">
        <f t="shared" si="14"/>
        <v>33790.394690683592</v>
      </c>
      <c r="G30" s="765">
        <f t="shared" si="14"/>
        <v>4199.077352564902</v>
      </c>
      <c r="H30" s="765">
        <f t="shared" si="14"/>
        <v>775.45484581632604</v>
      </c>
      <c r="I30" s="765">
        <f t="shared" si="14"/>
        <v>307.0927348109625</v>
      </c>
      <c r="J30" s="765">
        <f t="shared" si="14"/>
        <v>31724.515361931015</v>
      </c>
      <c r="K30" s="205"/>
      <c r="L30" s="205"/>
      <c r="M30" s="210"/>
      <c r="N30" s="210"/>
      <c r="O30" s="210"/>
      <c r="P30" s="210"/>
      <c r="Q30" s="210"/>
      <c r="R30" s="205"/>
      <c r="S30" s="205"/>
      <c r="T30" s="205"/>
      <c r="U30" s="205"/>
      <c r="V30" s="205"/>
    </row>
    <row r="31" spans="1:22">
      <c r="A31" s="755">
        <f>MAX($A$4:A30)+1</f>
        <v>25</v>
      </c>
      <c r="B31" s="760" t="str">
        <f>B13</f>
        <v>Net Interest Expense</v>
      </c>
      <c r="C31" s="765">
        <f t="shared" si="13"/>
        <v>144065.17548630576</v>
      </c>
      <c r="D31" s="765">
        <f t="shared" si="14"/>
        <v>2207.9222679830609</v>
      </c>
      <c r="E31" s="765">
        <f t="shared" si="14"/>
        <v>119002.82134437609</v>
      </c>
      <c r="F31" s="765">
        <f t="shared" si="14"/>
        <v>15505.811024401692</v>
      </c>
      <c r="G31" s="765">
        <f t="shared" si="14"/>
        <v>1775.6302747364721</v>
      </c>
      <c r="H31" s="765">
        <f t="shared" si="14"/>
        <v>307.01745897969965</v>
      </c>
      <c r="I31" s="765">
        <f t="shared" si="14"/>
        <v>132.33982650292606</v>
      </c>
      <c r="J31" s="765">
        <f t="shared" si="14"/>
        <v>5133.6332893258168</v>
      </c>
      <c r="K31" s="205"/>
      <c r="L31" s="205"/>
      <c r="M31" s="210"/>
      <c r="N31" s="210"/>
      <c r="O31" s="210"/>
      <c r="P31" s="210"/>
      <c r="Q31" s="210"/>
      <c r="R31" s="205"/>
      <c r="S31" s="205"/>
      <c r="T31" s="205"/>
      <c r="U31" s="205"/>
      <c r="V31" s="205"/>
    </row>
    <row r="32" spans="1:22">
      <c r="A32" s="755">
        <f>MAX($A$4:A31)+1</f>
        <v>26</v>
      </c>
      <c r="B32" s="760" t="str">
        <f>B14</f>
        <v>Planned Net Revenues</v>
      </c>
      <c r="C32" s="768">
        <f>SUM(D32:J32)</f>
        <v>40017.56137871134</v>
      </c>
      <c r="D32" s="768">
        <f>AVERAGE(D14,D23)</f>
        <v>307.61277141635799</v>
      </c>
      <c r="E32" s="768">
        <f t="shared" ref="E32:J32" si="15">AVERAGE(E14,E23)</f>
        <v>36521.674877841011</v>
      </c>
      <c r="F32" s="768">
        <f t="shared" si="15"/>
        <v>2160.7056365932185</v>
      </c>
      <c r="G32" s="768">
        <f t="shared" si="15"/>
        <v>247.35274162140911</v>
      </c>
      <c r="H32" s="768">
        <f t="shared" si="15"/>
        <v>42.776216637848322</v>
      </c>
      <c r="I32" s="768">
        <f t="shared" si="15"/>
        <v>18.43875410850022</v>
      </c>
      <c r="J32" s="768">
        <f t="shared" si="15"/>
        <v>719.00038049299201</v>
      </c>
      <c r="K32" s="205"/>
      <c r="L32" s="205"/>
      <c r="M32" s="205"/>
      <c r="N32" s="210"/>
      <c r="O32" s="210"/>
      <c r="P32" s="210"/>
      <c r="Q32" s="210"/>
      <c r="R32" s="210"/>
      <c r="S32" s="205"/>
      <c r="T32" s="205"/>
      <c r="U32" s="205"/>
      <c r="V32" s="205"/>
    </row>
    <row r="33" spans="1:22">
      <c r="A33" s="755">
        <f>MAX($A$4:A32)+1</f>
        <v>27</v>
      </c>
      <c r="B33" s="769" t="s">
        <v>125</v>
      </c>
      <c r="C33" s="765">
        <f t="shared" si="13"/>
        <v>1151300.5171818617</v>
      </c>
      <c r="D33" s="765">
        <f t="shared" si="14"/>
        <v>15053.090028628969</v>
      </c>
      <c r="E33" s="765">
        <f t="shared" si="14"/>
        <v>759581.00711366825</v>
      </c>
      <c r="F33" s="765">
        <f t="shared" si="14"/>
        <v>94454.552383927992</v>
      </c>
      <c r="G33" s="765">
        <f t="shared" si="14"/>
        <v>12040.981513765153</v>
      </c>
      <c r="H33" s="765">
        <f t="shared" si="14"/>
        <v>3714.9574692892174</v>
      </c>
      <c r="I33" s="765">
        <f t="shared" si="14"/>
        <v>1266.5472444225643</v>
      </c>
      <c r="J33" s="765">
        <f t="shared" si="14"/>
        <v>265189.3814281596</v>
      </c>
      <c r="K33" s="205"/>
      <c r="L33" s="210"/>
      <c r="M33" s="217"/>
      <c r="N33" s="205"/>
      <c r="O33" s="210"/>
      <c r="P33" s="210"/>
      <c r="Q33" s="211"/>
      <c r="R33" s="205"/>
      <c r="S33" s="205"/>
      <c r="T33" s="205"/>
      <c r="U33" s="218"/>
      <c r="V33" s="205"/>
    </row>
    <row r="34" spans="1:22" s="4" customFormat="1" ht="26.25" customHeight="1">
      <c r="A34" s="775" t="s">
        <v>382</v>
      </c>
      <c r="B34" s="745"/>
      <c r="C34" s="745"/>
      <c r="D34" s="745"/>
      <c r="E34" s="745"/>
      <c r="F34" s="745"/>
      <c r="G34" s="745"/>
      <c r="H34" s="745"/>
      <c r="I34" s="745"/>
      <c r="J34" s="745"/>
      <c r="K34" s="219"/>
      <c r="L34" s="219"/>
      <c r="M34" s="205"/>
      <c r="N34" s="219"/>
      <c r="O34" s="219"/>
      <c r="P34" s="219"/>
      <c r="Q34" s="219"/>
      <c r="R34" s="219"/>
      <c r="S34" s="219"/>
      <c r="T34" s="219"/>
      <c r="U34" s="219"/>
      <c r="V34" s="219"/>
    </row>
    <row r="35" spans="1:22" s="4" customFormat="1">
      <c r="A35" s="5"/>
      <c r="B35" s="6"/>
      <c r="D35" s="7"/>
      <c r="E35" s="7"/>
      <c r="F35" s="7"/>
      <c r="G35" s="7"/>
      <c r="H35" s="7"/>
      <c r="I35" s="7"/>
      <c r="J35" s="7"/>
      <c r="K35" s="219"/>
      <c r="L35" s="210"/>
      <c r="M35" s="218"/>
      <c r="N35" s="205"/>
      <c r="O35" s="219"/>
      <c r="P35" s="219"/>
      <c r="Q35" s="218"/>
      <c r="R35" s="205"/>
      <c r="S35" s="219"/>
      <c r="T35" s="219"/>
      <c r="U35" s="218"/>
      <c r="V35" s="219"/>
    </row>
    <row r="36" spans="1:22" s="4" customFormat="1">
      <c r="A36" s="5"/>
      <c r="B36" s="6"/>
      <c r="C36" s="7"/>
      <c r="D36" s="7"/>
      <c r="E36" s="7"/>
      <c r="F36" s="7"/>
      <c r="G36" s="7"/>
      <c r="H36" s="9"/>
      <c r="I36" s="8"/>
      <c r="J36" s="7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</row>
    <row r="37" spans="1:22" s="4" customFormat="1">
      <c r="A37" s="5"/>
      <c r="B37" s="6"/>
      <c r="C37" s="7"/>
      <c r="D37" s="7"/>
      <c r="E37" s="7"/>
      <c r="F37" s="7"/>
      <c r="G37" s="7"/>
      <c r="H37" s="7"/>
      <c r="I37" s="7"/>
      <c r="J37" s="6"/>
      <c r="K37" s="7"/>
      <c r="L37" s="7"/>
      <c r="M37" s="7"/>
      <c r="N37" s="7"/>
      <c r="O37" s="7"/>
      <c r="P37" s="7"/>
    </row>
    <row r="38" spans="1:22" s="4" customFormat="1">
      <c r="A38" s="5"/>
      <c r="B38" s="6"/>
      <c r="C38" s="7"/>
      <c r="D38" s="7"/>
      <c r="E38" s="7"/>
      <c r="F38" s="7"/>
      <c r="G38" s="7"/>
      <c r="H38" s="7"/>
      <c r="I38" s="7"/>
      <c r="J38" s="6"/>
      <c r="K38" s="7"/>
      <c r="L38" s="7"/>
      <c r="M38" s="7"/>
      <c r="N38" s="7"/>
      <c r="O38" s="7"/>
      <c r="P38" s="7"/>
    </row>
    <row r="39" spans="1:22" s="4" customFormat="1">
      <c r="A39" s="5"/>
      <c r="B39" s="6"/>
      <c r="C39" s="7"/>
      <c r="D39" s="7"/>
      <c r="E39" s="7"/>
      <c r="F39" s="7"/>
      <c r="G39" s="7"/>
      <c r="H39" s="7"/>
      <c r="I39" s="7"/>
      <c r="J39" s="6"/>
      <c r="K39" s="7"/>
      <c r="L39" s="7"/>
      <c r="M39" s="7"/>
      <c r="N39" s="7"/>
      <c r="O39" s="7"/>
      <c r="P39" s="7"/>
    </row>
    <row r="40" spans="1:22" s="4" customFormat="1">
      <c r="A40" s="5"/>
      <c r="B40" s="6"/>
      <c r="C40" s="7"/>
      <c r="D40" s="7"/>
      <c r="E40" s="7"/>
      <c r="F40" s="7"/>
      <c r="G40" s="7"/>
      <c r="H40" s="7"/>
      <c r="I40" s="7"/>
      <c r="J40" s="6"/>
      <c r="K40" s="7"/>
      <c r="L40" s="7"/>
      <c r="M40" s="7"/>
      <c r="N40" s="7"/>
      <c r="O40" s="7"/>
      <c r="P40" s="7"/>
    </row>
    <row r="41" spans="1:22" s="4" customFormat="1">
      <c r="A41" s="5"/>
      <c r="B41" s="6"/>
      <c r="C41" s="7"/>
      <c r="D41" s="7"/>
      <c r="E41" s="7"/>
      <c r="F41" s="7"/>
      <c r="G41" s="7"/>
      <c r="H41" s="7"/>
      <c r="I41" s="7"/>
      <c r="J41" s="6"/>
      <c r="K41" s="7"/>
      <c r="L41" s="7"/>
      <c r="M41" s="7"/>
      <c r="N41" s="7"/>
      <c r="O41" s="7"/>
      <c r="P41" s="7"/>
    </row>
    <row r="42" spans="1:22" s="4" customFormat="1">
      <c r="A42" s="5"/>
      <c r="B42" s="6"/>
      <c r="C42" s="7"/>
      <c r="D42" s="7"/>
      <c r="E42" s="7"/>
      <c r="F42" s="7"/>
      <c r="G42" s="7"/>
      <c r="H42" s="7"/>
      <c r="I42" s="7"/>
      <c r="J42" s="6"/>
      <c r="K42" s="7"/>
      <c r="L42" s="7"/>
      <c r="M42" s="7"/>
      <c r="N42" s="7"/>
      <c r="O42" s="7"/>
      <c r="P42" s="7"/>
    </row>
    <row r="43" spans="1:22" s="4" customFormat="1">
      <c r="A43" s="5"/>
      <c r="B43" s="6"/>
      <c r="C43" s="7"/>
      <c r="D43" s="7"/>
      <c r="E43" s="7"/>
      <c r="F43" s="7"/>
      <c r="G43" s="7"/>
      <c r="H43" s="7"/>
      <c r="I43" s="7"/>
      <c r="J43" s="6"/>
      <c r="K43" s="7"/>
      <c r="L43" s="7"/>
      <c r="M43" s="7"/>
      <c r="N43" s="7"/>
      <c r="O43" s="7"/>
      <c r="P43" s="7"/>
    </row>
    <row r="44" spans="1:22" s="4" customFormat="1">
      <c r="A44" s="5"/>
      <c r="B44" s="6"/>
      <c r="C44" s="7"/>
      <c r="D44" s="7"/>
      <c r="E44" s="7"/>
      <c r="F44" s="7"/>
      <c r="G44" s="7"/>
      <c r="H44" s="7"/>
      <c r="I44" s="7"/>
      <c r="J44" s="6"/>
      <c r="K44" s="7"/>
      <c r="L44" s="7"/>
      <c r="M44" s="7"/>
      <c r="N44" s="7"/>
      <c r="O44" s="7"/>
      <c r="P44" s="7"/>
    </row>
    <row r="45" spans="1:22" s="4" customFormat="1">
      <c r="A45" s="5"/>
      <c r="B45" s="6"/>
      <c r="C45" s="7"/>
      <c r="D45" s="7"/>
      <c r="E45" s="7"/>
      <c r="F45" s="7"/>
      <c r="G45" s="7"/>
      <c r="H45" s="7"/>
      <c r="I45" s="7"/>
      <c r="J45" s="6"/>
      <c r="K45" s="7"/>
      <c r="L45" s="7"/>
      <c r="M45" s="7"/>
      <c r="N45" s="7"/>
      <c r="O45" s="7"/>
      <c r="P45" s="7"/>
    </row>
    <row r="46" spans="1:22" s="4" customFormat="1">
      <c r="A46" s="5"/>
      <c r="B46" s="6"/>
      <c r="C46" s="7"/>
      <c r="D46" s="7"/>
      <c r="E46" s="7"/>
      <c r="F46" s="7"/>
      <c r="G46" s="7"/>
      <c r="H46" s="7"/>
      <c r="I46" s="7"/>
      <c r="J46" s="6"/>
      <c r="K46" s="7"/>
      <c r="L46" s="7"/>
      <c r="M46" s="7"/>
      <c r="N46" s="7"/>
      <c r="O46" s="7"/>
      <c r="P46" s="7"/>
    </row>
    <row r="47" spans="1:22" s="4" customFormat="1">
      <c r="A47" s="5"/>
      <c r="B47" s="6"/>
      <c r="C47" s="7"/>
      <c r="D47" s="7"/>
      <c r="E47" s="7"/>
      <c r="F47" s="7"/>
      <c r="G47" s="7"/>
      <c r="H47" s="7"/>
      <c r="I47" s="7"/>
      <c r="J47" s="6"/>
      <c r="K47" s="7"/>
      <c r="L47" s="7"/>
      <c r="M47" s="7"/>
      <c r="N47" s="7"/>
      <c r="O47" s="7"/>
      <c r="P47" s="7"/>
    </row>
    <row r="48" spans="1:22" s="4" customFormat="1">
      <c r="A48" s="5"/>
      <c r="B48" s="6"/>
      <c r="C48" s="7"/>
      <c r="D48" s="7"/>
      <c r="E48" s="7"/>
      <c r="F48" s="7"/>
      <c r="G48" s="7"/>
      <c r="H48" s="7"/>
      <c r="I48" s="7"/>
      <c r="J48" s="6"/>
      <c r="K48" s="7"/>
      <c r="L48" s="7"/>
      <c r="M48" s="7"/>
      <c r="N48" s="7"/>
      <c r="O48" s="7"/>
      <c r="P48" s="7"/>
    </row>
    <row r="49" spans="1:16" s="4" customFormat="1">
      <c r="A49" s="5"/>
      <c r="B49" s="6"/>
      <c r="C49" s="7"/>
      <c r="D49" s="7"/>
      <c r="E49" s="7"/>
      <c r="F49" s="7"/>
      <c r="G49" s="7"/>
      <c r="H49" s="7"/>
      <c r="I49" s="7"/>
      <c r="J49" s="6"/>
      <c r="K49" s="7"/>
      <c r="L49" s="7"/>
      <c r="M49" s="7"/>
      <c r="N49" s="7"/>
      <c r="O49" s="7"/>
      <c r="P49" s="7"/>
    </row>
    <row r="50" spans="1:16" s="4" customFormat="1">
      <c r="A50" s="5"/>
      <c r="B50" s="6"/>
      <c r="C50" s="7"/>
      <c r="D50" s="7"/>
      <c r="E50" s="7"/>
      <c r="F50" s="7"/>
      <c r="G50" s="7"/>
      <c r="H50" s="7"/>
      <c r="I50" s="7"/>
      <c r="J50" s="6"/>
      <c r="K50" s="7"/>
      <c r="L50" s="7"/>
      <c r="M50" s="7"/>
      <c r="N50" s="7"/>
      <c r="O50" s="7"/>
      <c r="P50" s="7"/>
    </row>
    <row r="51" spans="1:16">
      <c r="J51" s="6"/>
      <c r="K51" s="7"/>
      <c r="L51" s="7"/>
      <c r="M51" s="7"/>
      <c r="N51" s="7"/>
      <c r="O51" s="7"/>
      <c r="P51" s="7"/>
    </row>
    <row r="52" spans="1:16">
      <c r="J52" s="6"/>
      <c r="K52" s="7"/>
      <c r="L52" s="7"/>
      <c r="M52" s="7"/>
      <c r="N52" s="7"/>
      <c r="O52" s="7"/>
      <c r="P52" s="7"/>
    </row>
    <row r="53" spans="1:16">
      <c r="J53" s="6"/>
      <c r="K53" s="7"/>
      <c r="L53" s="7"/>
      <c r="M53" s="7"/>
      <c r="N53" s="7"/>
      <c r="O53" s="7"/>
      <c r="P53" s="7"/>
    </row>
  </sheetData>
  <mergeCells count="4">
    <mergeCell ref="A1:J1"/>
    <mergeCell ref="A2:J2"/>
    <mergeCell ref="A3:J3"/>
    <mergeCell ref="H5:I5"/>
  </mergeCells>
  <printOptions horizontalCentered="1"/>
  <pageMargins left="0.25" right="0.25" top="0.75" bottom="0.75" header="0.3" footer="0.3"/>
  <pageSetup scale="59" fitToHeight="0" orientation="landscape" blackAndWhite="1" horizontalDpi="300" verticalDpi="300" r:id="rId1"/>
  <headerFooter alignWithMargins="0"/>
  <ignoredErrors>
    <ignoredError sqref="D27:J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R142"/>
  <sheetViews>
    <sheetView zoomScale="80" zoomScaleNormal="80" workbookViewId="0">
      <selection sqref="A1:K1"/>
    </sheetView>
  </sheetViews>
  <sheetFormatPr defaultColWidth="8" defaultRowHeight="13.2"/>
  <cols>
    <col min="1" max="1" width="7.5546875" style="18" customWidth="1"/>
    <col min="2" max="2" width="43.6640625" style="18" customWidth="1"/>
    <col min="3" max="3" width="14.6640625" style="18" customWidth="1"/>
    <col min="4" max="4" width="14.33203125" style="18" customWidth="1"/>
    <col min="5" max="5" width="13.44140625" style="18" customWidth="1"/>
    <col min="6" max="6" width="14.6640625" style="18" customWidth="1"/>
    <col min="7" max="7" width="11.44140625" style="17" customWidth="1"/>
    <col min="8" max="8" width="14.33203125" style="17" bestFit="1" customWidth="1"/>
    <col min="9" max="11" width="11.44140625" style="17" customWidth="1"/>
    <col min="12" max="16384" width="8" style="17"/>
  </cols>
  <sheetData>
    <row r="1" spans="1:14" s="43" customFormat="1" ht="20.25" customHeight="1">
      <c r="A1" s="908" t="s">
        <v>211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17"/>
      <c r="M1" s="17"/>
      <c r="N1" s="17"/>
    </row>
    <row r="2" spans="1:14" s="43" customFormat="1" ht="20.25" customHeight="1">
      <c r="A2" s="908" t="s">
        <v>144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184"/>
      <c r="M2" s="17"/>
      <c r="N2" s="17"/>
    </row>
    <row r="3" spans="1:14">
      <c r="A3" s="691"/>
      <c r="B3" s="692" t="s">
        <v>0</v>
      </c>
      <c r="C3" s="692" t="s">
        <v>1</v>
      </c>
      <c r="D3" s="693" t="s">
        <v>2</v>
      </c>
      <c r="E3" s="693" t="s">
        <v>3</v>
      </c>
      <c r="F3" s="693" t="s">
        <v>4</v>
      </c>
      <c r="G3" s="693" t="s">
        <v>5</v>
      </c>
      <c r="H3" s="693"/>
      <c r="I3" s="693"/>
      <c r="J3" s="693"/>
      <c r="K3" s="691"/>
      <c r="L3" s="184"/>
    </row>
    <row r="4" spans="1:14">
      <c r="A4" s="694"/>
      <c r="B4" s="695" t="s">
        <v>24</v>
      </c>
      <c r="C4" s="696">
        <f>+Input!A3</f>
        <v>2021</v>
      </c>
      <c r="D4" s="696">
        <f>+C4+1</f>
        <v>2022</v>
      </c>
      <c r="E4" s="696">
        <f>+D4+1</f>
        <v>2023</v>
      </c>
      <c r="F4" s="696" t="s">
        <v>415</v>
      </c>
      <c r="G4" s="697" t="s">
        <v>35</v>
      </c>
      <c r="H4" s="698"/>
      <c r="I4" s="691" t="s">
        <v>9</v>
      </c>
      <c r="J4" s="691"/>
      <c r="K4" s="691"/>
    </row>
    <row r="5" spans="1:14" s="44" customFormat="1" ht="20.25" customHeight="1">
      <c r="A5" s="699"/>
      <c r="B5" s="700"/>
      <c r="C5" s="701" t="s">
        <v>23</v>
      </c>
      <c r="D5" s="701" t="s">
        <v>23</v>
      </c>
      <c r="E5" s="701" t="s">
        <v>23</v>
      </c>
      <c r="F5" s="701" t="s">
        <v>215</v>
      </c>
      <c r="G5" s="702"/>
      <c r="H5" s="702"/>
      <c r="I5" s="702"/>
      <c r="J5" s="702"/>
      <c r="K5" s="702"/>
      <c r="L5" s="17"/>
    </row>
    <row r="6" spans="1:14">
      <c r="A6" s="703">
        <f>MAX($A$4:A5)+1</f>
        <v>1</v>
      </c>
      <c r="B6" s="704" t="s">
        <v>423</v>
      </c>
      <c r="C6" s="705">
        <v>2209.8000000000002</v>
      </c>
      <c r="D6" s="705">
        <v>2209.8000000000002</v>
      </c>
      <c r="E6" s="705">
        <v>2209.8000000000002</v>
      </c>
      <c r="F6" s="705">
        <f>AVERAGE(D6:E6)</f>
        <v>2209.8000000000002</v>
      </c>
      <c r="G6" s="706">
        <f>IF(C6=0,"N/A",(F6-C6)/C6)</f>
        <v>0</v>
      </c>
      <c r="H6" s="707"/>
      <c r="I6" s="691"/>
      <c r="J6" s="691"/>
      <c r="K6" s="691"/>
    </row>
    <row r="7" spans="1:14">
      <c r="A7" s="703">
        <f>MAX($A$4:A6)+1</f>
        <v>2</v>
      </c>
      <c r="B7" s="704" t="s">
        <v>424</v>
      </c>
      <c r="C7" s="705">
        <v>408.33600000000001</v>
      </c>
      <c r="D7" s="705">
        <v>408.33600000000001</v>
      </c>
      <c r="E7" s="705">
        <v>408.33600000000001</v>
      </c>
      <c r="F7" s="705">
        <f t="shared" ref="F7:F26" si="0">AVERAGE(D7:E7)</f>
        <v>408.33600000000001</v>
      </c>
      <c r="G7" s="706">
        <f>IF(C7=0,"N/A",(F7-C7)/C7)</f>
        <v>0</v>
      </c>
      <c r="H7" s="707"/>
      <c r="I7" s="691"/>
      <c r="J7" s="691"/>
      <c r="K7" s="691"/>
      <c r="L7" s="203"/>
      <c r="M7" s="203"/>
      <c r="N7" s="203"/>
    </row>
    <row r="8" spans="1:14">
      <c r="A8" s="703">
        <f>MAX($A$4:A7)+1</f>
        <v>3</v>
      </c>
      <c r="B8" s="704" t="s">
        <v>425</v>
      </c>
      <c r="C8" s="705">
        <v>1734.992</v>
      </c>
      <c r="D8" s="705">
        <v>1954.8879999999999</v>
      </c>
      <c r="E8" s="705">
        <v>1201.67083</v>
      </c>
      <c r="F8" s="705">
        <f t="shared" si="0"/>
        <v>1578.279415</v>
      </c>
      <c r="G8" s="706">
        <f t="shared" ref="G8:G27" si="1">IF(C8=0,"N/A",(F8-C8)/C8)</f>
        <v>-9.032467296679178E-2</v>
      </c>
      <c r="H8" s="707"/>
      <c r="I8" s="691"/>
      <c r="J8" s="691"/>
      <c r="K8" s="691"/>
    </row>
    <row r="9" spans="1:14">
      <c r="A9" s="703">
        <f>MAX($A$4:A8)+1</f>
        <v>4</v>
      </c>
      <c r="B9" s="704" t="s">
        <v>426</v>
      </c>
      <c r="C9" s="705">
        <v>7675.6220000000003</v>
      </c>
      <c r="D9" s="705">
        <v>7743.009</v>
      </c>
      <c r="E9" s="705">
        <v>5606.1691700000001</v>
      </c>
      <c r="F9" s="705">
        <f t="shared" si="0"/>
        <v>6674.5890849999996</v>
      </c>
      <c r="G9" s="706">
        <f t="shared" si="1"/>
        <v>-0.13041717205459058</v>
      </c>
      <c r="H9" s="707"/>
      <c r="I9" s="691"/>
      <c r="J9" s="691"/>
      <c r="K9" s="691"/>
      <c r="L9" s="183"/>
    </row>
    <row r="10" spans="1:14">
      <c r="A10" s="703">
        <f>MAX($A$4:A9)+1</f>
        <v>5</v>
      </c>
      <c r="B10" s="704" t="s">
        <v>427</v>
      </c>
      <c r="C10" s="705">
        <v>216.10300000000001</v>
      </c>
      <c r="D10" s="705">
        <v>216.10300000000001</v>
      </c>
      <c r="E10" s="705">
        <v>216.10300000000001</v>
      </c>
      <c r="F10" s="705">
        <f t="shared" si="0"/>
        <v>216.10300000000001</v>
      </c>
      <c r="G10" s="706">
        <f t="shared" si="1"/>
        <v>0</v>
      </c>
      <c r="H10" s="707"/>
      <c r="I10" s="691"/>
      <c r="J10" s="691"/>
      <c r="K10" s="691"/>
    </row>
    <row r="11" spans="1:14">
      <c r="A11" s="703">
        <f>MAX($A$4:A10)+1</f>
        <v>6</v>
      </c>
      <c r="B11" s="704" t="s">
        <v>428</v>
      </c>
      <c r="C11" s="705">
        <v>79.2</v>
      </c>
      <c r="D11" s="705">
        <v>79.2</v>
      </c>
      <c r="E11" s="705">
        <v>79.2</v>
      </c>
      <c r="F11" s="705">
        <f t="shared" si="0"/>
        <v>79.2</v>
      </c>
      <c r="G11" s="706">
        <f t="shared" si="1"/>
        <v>0</v>
      </c>
      <c r="H11" s="707"/>
      <c r="I11" s="691"/>
      <c r="J11" s="691"/>
      <c r="K11" s="691"/>
    </row>
    <row r="12" spans="1:14">
      <c r="A12" s="703">
        <f>MAX($A$4:A11)+1</f>
        <v>7</v>
      </c>
      <c r="B12" s="704" t="s">
        <v>429</v>
      </c>
      <c r="C12" s="705">
        <v>3.3119999999999998</v>
      </c>
      <c r="D12" s="705">
        <v>3.3119999999999998</v>
      </c>
      <c r="E12" s="705">
        <v>3.3119999999999998</v>
      </c>
      <c r="F12" s="705">
        <f t="shared" si="0"/>
        <v>3.3119999999999998</v>
      </c>
      <c r="G12" s="706">
        <f t="shared" si="1"/>
        <v>0</v>
      </c>
      <c r="H12" s="707"/>
      <c r="I12" s="691" t="s">
        <v>9</v>
      </c>
      <c r="J12" s="691"/>
      <c r="K12" s="691"/>
    </row>
    <row r="13" spans="1:14">
      <c r="A13" s="703">
        <f>MAX($A$4:A12)+1</f>
        <v>8</v>
      </c>
      <c r="B13" s="704" t="s">
        <v>430</v>
      </c>
      <c r="C13" s="705">
        <v>39.6</v>
      </c>
      <c r="D13" s="705">
        <v>39.6</v>
      </c>
      <c r="E13" s="705">
        <v>39.6</v>
      </c>
      <c r="F13" s="705">
        <f t="shared" si="0"/>
        <v>39.6</v>
      </c>
      <c r="G13" s="706">
        <f t="shared" si="1"/>
        <v>0</v>
      </c>
      <c r="H13" s="707"/>
      <c r="I13" s="691"/>
      <c r="J13" s="691"/>
      <c r="K13" s="691"/>
    </row>
    <row r="14" spans="1:14">
      <c r="A14" s="703">
        <f>MAX($A$4:A13)+1</f>
        <v>9</v>
      </c>
      <c r="B14" s="704" t="s">
        <v>431</v>
      </c>
      <c r="C14" s="705">
        <v>3488.07564</v>
      </c>
      <c r="D14" s="705">
        <v>3488.07564</v>
      </c>
      <c r="E14" s="705">
        <v>3488.07564</v>
      </c>
      <c r="F14" s="705">
        <f>AVERAGE(D14:E14)</f>
        <v>3488.07564</v>
      </c>
      <c r="G14" s="706">
        <f t="shared" si="1"/>
        <v>0</v>
      </c>
      <c r="H14" s="707"/>
      <c r="I14" s="691"/>
      <c r="J14" s="691"/>
      <c r="K14" s="691"/>
    </row>
    <row r="15" spans="1:14">
      <c r="A15" s="703">
        <f>MAX($A$4:A14)+1</f>
        <v>10</v>
      </c>
      <c r="B15" s="704" t="s">
        <v>432</v>
      </c>
      <c r="C15" s="705">
        <v>234.30799999999999</v>
      </c>
      <c r="D15" s="705">
        <v>234.30799999999999</v>
      </c>
      <c r="E15" s="705">
        <v>234.30799999999999</v>
      </c>
      <c r="F15" s="705">
        <f t="shared" si="0"/>
        <v>234.30799999999999</v>
      </c>
      <c r="G15" s="706">
        <f t="shared" si="1"/>
        <v>0</v>
      </c>
      <c r="H15" s="707"/>
      <c r="I15" s="691"/>
      <c r="J15" s="691"/>
      <c r="K15" s="691"/>
    </row>
    <row r="16" spans="1:14">
      <c r="A16" s="703">
        <f>MAX($A$4:A15)+1</f>
        <v>11</v>
      </c>
      <c r="B16" s="704" t="s">
        <v>433</v>
      </c>
      <c r="C16" s="705">
        <v>1093.308</v>
      </c>
      <c r="D16" s="705">
        <v>1093.308</v>
      </c>
      <c r="E16" s="705">
        <v>1093.308</v>
      </c>
      <c r="F16" s="705">
        <f t="shared" si="0"/>
        <v>1093.308</v>
      </c>
      <c r="G16" s="706">
        <f t="shared" si="1"/>
        <v>0</v>
      </c>
      <c r="H16" s="707"/>
      <c r="I16" s="691"/>
      <c r="J16" s="691"/>
      <c r="K16" s="691"/>
    </row>
    <row r="17" spans="1:13">
      <c r="A17" s="703">
        <v>12</v>
      </c>
      <c r="B17" s="704" t="s">
        <v>434</v>
      </c>
      <c r="C17" s="705">
        <v>104.85899999999999</v>
      </c>
      <c r="D17" s="705">
        <v>104.85899999999999</v>
      </c>
      <c r="E17" s="705">
        <v>104.85899999999999</v>
      </c>
      <c r="F17" s="705">
        <f t="shared" si="0"/>
        <v>104.85899999999999</v>
      </c>
      <c r="G17" s="706">
        <f t="shared" si="1"/>
        <v>0</v>
      </c>
      <c r="H17" s="707"/>
      <c r="I17" s="691"/>
      <c r="J17" s="691"/>
      <c r="K17" s="691"/>
    </row>
    <row r="18" spans="1:13">
      <c r="A18" s="703">
        <v>13</v>
      </c>
      <c r="B18" s="704" t="s">
        <v>435</v>
      </c>
      <c r="C18" s="705">
        <v>186.38399999999999</v>
      </c>
      <c r="D18" s="705">
        <v>186.38399999999999</v>
      </c>
      <c r="E18" s="705">
        <v>186.38399999999999</v>
      </c>
      <c r="F18" s="705">
        <f t="shared" si="0"/>
        <v>186.38399999999999</v>
      </c>
      <c r="G18" s="706">
        <f t="shared" si="1"/>
        <v>0</v>
      </c>
      <c r="H18" s="707"/>
      <c r="I18" s="691"/>
      <c r="J18" s="691"/>
      <c r="K18" s="691"/>
    </row>
    <row r="19" spans="1:13" s="45" customFormat="1">
      <c r="A19" s="703">
        <v>14</v>
      </c>
      <c r="B19" s="704" t="s">
        <v>436</v>
      </c>
      <c r="C19" s="705">
        <v>673.32</v>
      </c>
      <c r="D19" s="705">
        <v>673.32</v>
      </c>
      <c r="E19" s="705">
        <v>673.32</v>
      </c>
      <c r="F19" s="705">
        <f t="shared" si="0"/>
        <v>673.32</v>
      </c>
      <c r="G19" s="706">
        <f t="shared" si="1"/>
        <v>0</v>
      </c>
      <c r="H19" s="707"/>
      <c r="I19" s="691"/>
      <c r="J19" s="691"/>
      <c r="K19" s="691"/>
      <c r="L19" s="17"/>
      <c r="M19" s="17"/>
    </row>
    <row r="20" spans="1:13" s="45" customFormat="1">
      <c r="A20" s="703">
        <v>15</v>
      </c>
      <c r="B20" s="704" t="s">
        <v>437</v>
      </c>
      <c r="C20" s="705">
        <v>60.54392</v>
      </c>
      <c r="D20" s="705">
        <v>38.112000000000002</v>
      </c>
      <c r="E20" s="705">
        <v>38.112000000000002</v>
      </c>
      <c r="F20" s="705">
        <f t="shared" si="0"/>
        <v>38.112000000000002</v>
      </c>
      <c r="G20" s="706">
        <f t="shared" si="1"/>
        <v>-0.37050656779409058</v>
      </c>
      <c r="H20" s="707"/>
      <c r="I20" s="691"/>
      <c r="J20" s="691"/>
      <c r="K20" s="691"/>
      <c r="L20" s="17"/>
      <c r="M20" s="17"/>
    </row>
    <row r="21" spans="1:13" s="45" customFormat="1">
      <c r="A21" s="703">
        <v>16</v>
      </c>
      <c r="B21" s="704" t="s">
        <v>438</v>
      </c>
      <c r="C21" s="705">
        <v>378.65100000000001</v>
      </c>
      <c r="D21" s="705">
        <v>378.65100000000001</v>
      </c>
      <c r="E21" s="705">
        <v>332.661</v>
      </c>
      <c r="F21" s="705">
        <f t="shared" si="0"/>
        <v>355.65600000000001</v>
      </c>
      <c r="G21" s="706">
        <f t="shared" si="1"/>
        <v>-6.0728744939271266E-2</v>
      </c>
      <c r="H21" s="707"/>
      <c r="I21" s="691"/>
      <c r="J21" s="691"/>
      <c r="K21" s="691"/>
      <c r="L21" s="17"/>
      <c r="M21" s="17"/>
    </row>
    <row r="22" spans="1:13" s="45" customFormat="1">
      <c r="A22" s="703">
        <f>MAX($A$4:A21)+1</f>
        <v>17</v>
      </c>
      <c r="B22" s="704" t="s">
        <v>439</v>
      </c>
      <c r="C22" s="705">
        <v>245.697</v>
      </c>
      <c r="D22" s="705">
        <v>245.697</v>
      </c>
      <c r="E22" s="705">
        <v>245.697</v>
      </c>
      <c r="F22" s="705">
        <f t="shared" si="0"/>
        <v>245.697</v>
      </c>
      <c r="G22" s="706">
        <f t="shared" si="1"/>
        <v>0</v>
      </c>
      <c r="H22" s="707"/>
      <c r="I22" s="691"/>
      <c r="J22" s="691"/>
      <c r="K22" s="691"/>
      <c r="L22" s="17"/>
      <c r="M22" s="17"/>
    </row>
    <row r="23" spans="1:13" s="45" customFormat="1">
      <c r="A23" s="703">
        <f>MAX($A$4:A22)+1</f>
        <v>18</v>
      </c>
      <c r="B23" s="704" t="s">
        <v>440</v>
      </c>
      <c r="C23" s="705">
        <v>3622.1959999999999</v>
      </c>
      <c r="D23" s="705">
        <v>3419.7359999999999</v>
      </c>
      <c r="E23" s="705">
        <v>3406.1280000000002</v>
      </c>
      <c r="F23" s="705">
        <f t="shared" si="0"/>
        <v>3412.9319999999998</v>
      </c>
      <c r="G23" s="706">
        <f t="shared" si="1"/>
        <v>-5.7772688170380657E-2</v>
      </c>
      <c r="H23" s="707"/>
      <c r="I23" s="691"/>
      <c r="J23" s="691"/>
      <c r="K23" s="691"/>
      <c r="L23" s="17"/>
      <c r="M23" s="17"/>
    </row>
    <row r="24" spans="1:13" s="45" customFormat="1">
      <c r="A24" s="703">
        <f>MAX($A$4:A23)+1</f>
        <v>19</v>
      </c>
      <c r="B24" s="704" t="s">
        <v>441</v>
      </c>
      <c r="C24" s="705">
        <v>228.19200000000001</v>
      </c>
      <c r="D24" s="705">
        <v>228.19200000000001</v>
      </c>
      <c r="E24" s="705">
        <v>228.19200000000001</v>
      </c>
      <c r="F24" s="705">
        <f t="shared" si="0"/>
        <v>228.19200000000001</v>
      </c>
      <c r="G24" s="706">
        <f t="shared" si="1"/>
        <v>0</v>
      </c>
      <c r="H24" s="707"/>
      <c r="I24" s="691"/>
      <c r="J24" s="691"/>
      <c r="K24" s="691"/>
      <c r="L24" s="17"/>
      <c r="M24" s="17"/>
    </row>
    <row r="25" spans="1:13" s="45" customFormat="1">
      <c r="A25" s="703">
        <f>MAX($A$4:A24)+1</f>
        <v>20</v>
      </c>
      <c r="B25" s="704" t="s">
        <v>442</v>
      </c>
      <c r="C25" s="705">
        <v>7008.1309600000004</v>
      </c>
      <c r="D25" s="705">
        <v>7008.1309600000004</v>
      </c>
      <c r="E25" s="705">
        <v>7008.1309600000004</v>
      </c>
      <c r="F25" s="705">
        <f t="shared" si="0"/>
        <v>7008.1309600000004</v>
      </c>
      <c r="G25" s="706">
        <f t="shared" si="1"/>
        <v>0</v>
      </c>
      <c r="H25" s="707"/>
      <c r="I25" s="691"/>
      <c r="J25" s="691"/>
      <c r="K25" s="691"/>
      <c r="L25" s="17"/>
      <c r="M25" s="17"/>
    </row>
    <row r="26" spans="1:13" s="45" customFormat="1">
      <c r="A26" s="703">
        <f>MAX($A$4:A25)+1</f>
        <v>21</v>
      </c>
      <c r="B26" s="704" t="s">
        <v>443</v>
      </c>
      <c r="C26" s="705">
        <v>3900</v>
      </c>
      <c r="D26" s="705">
        <v>3720</v>
      </c>
      <c r="E26" s="705">
        <v>3720</v>
      </c>
      <c r="F26" s="705">
        <f t="shared" si="0"/>
        <v>3720</v>
      </c>
      <c r="G26" s="706">
        <f t="shared" si="1"/>
        <v>-4.6153846153846156E-2</v>
      </c>
      <c r="H26" s="707"/>
      <c r="I26" s="691"/>
      <c r="J26" s="691"/>
      <c r="K26" s="691"/>
      <c r="L26" s="17"/>
      <c r="M26" s="17"/>
    </row>
    <row r="27" spans="1:13" s="45" customFormat="1">
      <c r="A27" s="703">
        <f>MAX($A$4:A26)+1</f>
        <v>22</v>
      </c>
      <c r="B27" s="704" t="s">
        <v>444</v>
      </c>
      <c r="C27" s="705">
        <v>312</v>
      </c>
      <c r="D27" s="705">
        <v>312</v>
      </c>
      <c r="E27" s="705">
        <v>312</v>
      </c>
      <c r="F27" s="705">
        <f>AVERAGE(D27:E27)</f>
        <v>312</v>
      </c>
      <c r="G27" s="706">
        <f t="shared" si="1"/>
        <v>0</v>
      </c>
      <c r="H27" s="707"/>
      <c r="I27" s="691"/>
      <c r="J27" s="691"/>
      <c r="K27" s="691"/>
      <c r="L27" s="17"/>
      <c r="M27" s="17"/>
    </row>
    <row r="28" spans="1:13" s="45" customFormat="1">
      <c r="A28" s="703">
        <f>MAX($A$4:A27)+1</f>
        <v>23</v>
      </c>
      <c r="B28" s="708" t="s">
        <v>13</v>
      </c>
      <c r="C28" s="709">
        <f>SUM(C6:C27)</f>
        <v>33902.630519999999</v>
      </c>
      <c r="D28" s="709">
        <f>SUM(D6:D27)</f>
        <v>33785.0216</v>
      </c>
      <c r="E28" s="709">
        <f>SUM(E6:E27)</f>
        <v>30835.366600000001</v>
      </c>
      <c r="F28" s="709">
        <f>SUM(F6:F27)</f>
        <v>32310.194100000001</v>
      </c>
      <c r="G28" s="710">
        <f>(F28-C28)/C28</f>
        <v>-4.6970880889628329E-2</v>
      </c>
      <c r="H28" s="691"/>
      <c r="I28" s="691"/>
      <c r="J28" s="691"/>
      <c r="K28" s="691"/>
      <c r="L28" s="17"/>
    </row>
    <row r="29" spans="1:13" s="45" customFormat="1">
      <c r="A29" s="703"/>
      <c r="B29" s="708"/>
      <c r="C29" s="709"/>
      <c r="D29" s="709"/>
      <c r="E29" s="709"/>
      <c r="F29" s="709"/>
      <c r="G29" s="711"/>
      <c r="H29" s="691"/>
      <c r="I29" s="691"/>
      <c r="J29" s="691"/>
      <c r="K29" s="691"/>
      <c r="L29" s="17"/>
    </row>
    <row r="30" spans="1:13" s="45" customFormat="1">
      <c r="A30" s="712"/>
      <c r="B30" s="713" t="s">
        <v>0</v>
      </c>
      <c r="C30" s="692" t="s">
        <v>1</v>
      </c>
      <c r="D30" s="693" t="s">
        <v>2</v>
      </c>
      <c r="E30" s="693" t="s">
        <v>3</v>
      </c>
      <c r="F30" s="693" t="s">
        <v>4</v>
      </c>
      <c r="G30" s="693" t="s">
        <v>5</v>
      </c>
      <c r="H30" s="693" t="s">
        <v>6</v>
      </c>
      <c r="I30" s="693" t="s">
        <v>7</v>
      </c>
      <c r="J30" s="693" t="s">
        <v>39</v>
      </c>
      <c r="K30" s="693" t="s">
        <v>40</v>
      </c>
      <c r="L30" s="17"/>
    </row>
    <row r="31" spans="1:13" s="45" customFormat="1">
      <c r="A31" s="712"/>
      <c r="B31" s="714" t="s">
        <v>212</v>
      </c>
      <c r="C31" s="715"/>
      <c r="D31" s="716"/>
      <c r="E31" s="693" t="s">
        <v>8</v>
      </c>
      <c r="F31" s="717"/>
      <c r="G31" s="909" t="s">
        <v>10</v>
      </c>
      <c r="H31" s="910"/>
      <c r="I31" s="909" t="s">
        <v>11</v>
      </c>
      <c r="J31" s="910"/>
      <c r="K31" s="718" t="s">
        <v>12</v>
      </c>
      <c r="L31" s="17"/>
    </row>
    <row r="32" spans="1:13" s="45" customFormat="1">
      <c r="A32" s="712"/>
      <c r="B32" s="719"/>
      <c r="C32" s="720" t="s">
        <v>25</v>
      </c>
      <c r="D32" s="721" t="s">
        <v>13</v>
      </c>
      <c r="E32" s="722" t="s">
        <v>14</v>
      </c>
      <c r="F32" s="722" t="s">
        <v>15</v>
      </c>
      <c r="G32" s="722" t="s">
        <v>16</v>
      </c>
      <c r="H32" s="723" t="s">
        <v>26</v>
      </c>
      <c r="I32" s="722" t="s">
        <v>18</v>
      </c>
      <c r="J32" s="722" t="s">
        <v>19</v>
      </c>
      <c r="K32" s="722" t="s">
        <v>20</v>
      </c>
      <c r="L32" s="17"/>
    </row>
    <row r="33" spans="1:13" s="45" customFormat="1">
      <c r="A33" s="703">
        <f>MAX($A$4:A32)+1</f>
        <v>24</v>
      </c>
      <c r="B33" s="704" t="str">
        <f t="shared" ref="B33:B54" si="2">B6</f>
        <v>SINT AC NON FEDERAL O&amp;M</v>
      </c>
      <c r="C33" s="715" t="s">
        <v>27</v>
      </c>
      <c r="D33" s="724">
        <f t="shared" ref="D33:D54" si="3">SUM(E33:K33)</f>
        <v>1</v>
      </c>
      <c r="E33" s="724">
        <f>IF($C33="southern",0,IF($C33="direct uft",D$131,IF($C33="direct om",D$133,IF($C33="network",0,IF($C33="industry",0,IF($C33="net plant",D$125,IF($C33="direct COEBOR",D$138,"ERROR")))))))</f>
        <v>0</v>
      </c>
      <c r="F33" s="724">
        <f>IF($C33="southern",0,IF($C33="direct uft",E$131,IF($C33="direct om",E$133,IF($C33="network",1,IF($C33="industry",0,IF($C33="net plant",E$125,IF($C33="direct COEBOR",E$138,"ERROR")))))))</f>
        <v>0</v>
      </c>
      <c r="G33" s="724">
        <f>IF($C33="southern",0,IF($C33="direct uft",F$131,IF($C33="direct om",F$133,IF($C33="network",0,IF($C33="industry",0,IF($C33="net plant",F$125,IF($C33="direct COEBOR",F$138,"ERROR")))))))</f>
        <v>0</v>
      </c>
      <c r="H33" s="724">
        <f>IF($C33="southern",0,IF($C33="direct uft",G$131,IF($C33="direct om",G$133,IF($C33="network",0,IF($C33="industry",1,IF($C33="net plant",G$125,IF($C33="direct COEBOR",G$138,"ERROR")))))))</f>
        <v>0</v>
      </c>
      <c r="I33" s="724">
        <f>IF($C33="southern",1,IF($C33="direct uft",H$131,IF($C33="direct om",H$133,IF($C33="network",0,IF($C33="industry",0,IF($C33="net plant",H$125,IF($C33="direct COEBOR",H$138,"ERROR")))))))</f>
        <v>1</v>
      </c>
      <c r="J33" s="724">
        <f>IF($C33="southern",0,IF($C33="direct uft",I$131,IF($C33="direct om",I$133,IF($C33="network",0,IF($C33="industry",0,IF($C33="net plant",I$125,IF($C33="direct COEBOR",I$138,"ERROR")))))))</f>
        <v>0</v>
      </c>
      <c r="K33" s="724">
        <f>IF($C33="southern",0,IF($C33="direct uft",J$131,IF($C33="direct om",J$133,IF($C33="network",0,IF($C33="industry",0,IF($C33="net plant",J$125,IF($C33="direct COEBOR",J$138,"ERROR")))))))</f>
        <v>0</v>
      </c>
      <c r="L33" s="17"/>
    </row>
    <row r="34" spans="1:13" s="45" customFormat="1">
      <c r="A34" s="703">
        <f>MAX($A$4:A33)+1</f>
        <v>25</v>
      </c>
      <c r="B34" s="704" t="str">
        <f t="shared" si="2"/>
        <v>DSI DELIVERY CHARGE</v>
      </c>
      <c r="C34" s="715" t="s">
        <v>29</v>
      </c>
      <c r="D34" s="724">
        <f t="shared" si="3"/>
        <v>1</v>
      </c>
      <c r="E34" s="724">
        <f t="shared" ref="E34:E54" si="4">IF($C34="southern",0,IF($C34="direct uft",D$131,IF($C34="direct om",D$133,IF($C34="network",0,IF($C34="industry",0,IF($C34="net plant",D$125,IF($C34="direct COEBOR",D$138,"ERROR")))))))</f>
        <v>0</v>
      </c>
      <c r="F34" s="724">
        <f t="shared" ref="F34:F54" si="5">IF($C34="southern",0,IF($C34="direct uft",E$131,IF($C34="direct om",E$133,IF($C34="network",1,IF($C34="industry",0,IF($C34="net plant",E$125,IF($C34="direct COEBOR",E$138,"ERROR")))))))</f>
        <v>0</v>
      </c>
      <c r="G34" s="724">
        <f t="shared" ref="G34:G54" si="6">IF($C34="southern",0,IF($C34="direct uft",F$131,IF($C34="direct om",F$133,IF($C34="network",0,IF($C34="industry",0,IF($C34="net plant",F$125,IF($C34="direct COEBOR",F$138,"ERROR")))))))</f>
        <v>0</v>
      </c>
      <c r="H34" s="724">
        <f t="shared" ref="H34:H54" si="7">IF($C34="southern",0,IF($C34="direct uft",G$131,IF($C34="direct om",G$133,IF($C34="network",0,IF($C34="industry",1,IF($C34="net plant",G$125,IF($C34="direct COEBOR",G$138,"ERROR")))))))</f>
        <v>1</v>
      </c>
      <c r="I34" s="724">
        <f t="shared" ref="I34:I54" si="8">IF($C34="southern",1,IF($C34="direct uft",H$131,IF($C34="direct om",H$133,IF($C34="network",0,IF($C34="industry",0,IF($C34="net plant",H$125,IF($C34="direct COEBOR",H$138,"ERROR")))))))</f>
        <v>0</v>
      </c>
      <c r="J34" s="724">
        <f t="shared" ref="J34:K54" si="9">IF($C34="southern",0,IF($C34="direct uft",I$131,IF($C34="direct om",I$133,IF($C34="network",0,IF($C34="industry",0,IF($C34="net plant",I$125,IF($C34="direct COEBOR",I$138,"ERROR")))))))</f>
        <v>0</v>
      </c>
      <c r="K34" s="724">
        <f t="shared" si="9"/>
        <v>0</v>
      </c>
      <c r="L34" s="17"/>
    </row>
    <row r="35" spans="1:13" s="45" customFormat="1">
      <c r="A35" s="703">
        <f>MAX($A$4:A34)+1</f>
        <v>26</v>
      </c>
      <c r="B35" s="704" t="str">
        <f t="shared" si="2"/>
        <v>FIBER OPERATIONS &amp; MAINTENANCE</v>
      </c>
      <c r="C35" s="715" t="s">
        <v>28</v>
      </c>
      <c r="D35" s="724">
        <f t="shared" si="3"/>
        <v>1</v>
      </c>
      <c r="E35" s="724">
        <f t="shared" si="4"/>
        <v>1.3888903611769896E-2</v>
      </c>
      <c r="F35" s="724">
        <f t="shared" si="5"/>
        <v>0.72316249186319181</v>
      </c>
      <c r="G35" s="724">
        <f t="shared" si="6"/>
        <v>1.9312695169921433E-3</v>
      </c>
      <c r="H35" s="724">
        <f t="shared" si="7"/>
        <v>8.3247264828586142E-4</v>
      </c>
      <c r="I35" s="724">
        <f t="shared" si="8"/>
        <v>9.7534858208298353E-2</v>
      </c>
      <c r="J35" s="724">
        <f t="shared" si="9"/>
        <v>1.116991576044717E-2</v>
      </c>
      <c r="K35" s="724">
        <f t="shared" si="9"/>
        <v>0.1514800883910149</v>
      </c>
      <c r="L35" s="17"/>
    </row>
    <row r="36" spans="1:13">
      <c r="A36" s="703">
        <f>MAX($A$4:A35)+1</f>
        <v>27</v>
      </c>
      <c r="B36" s="704" t="str">
        <f t="shared" si="2"/>
        <v>FIBER LEASES</v>
      </c>
      <c r="C36" s="715" t="s">
        <v>28</v>
      </c>
      <c r="D36" s="724">
        <f t="shared" si="3"/>
        <v>1</v>
      </c>
      <c r="E36" s="724">
        <f t="shared" si="4"/>
        <v>1.3888903611769896E-2</v>
      </c>
      <c r="F36" s="724">
        <f t="shared" si="5"/>
        <v>0.72316249186319181</v>
      </c>
      <c r="G36" s="724">
        <f t="shared" si="6"/>
        <v>1.9312695169921433E-3</v>
      </c>
      <c r="H36" s="724">
        <f t="shared" si="7"/>
        <v>8.3247264828586142E-4</v>
      </c>
      <c r="I36" s="724">
        <f t="shared" si="8"/>
        <v>9.7534858208298353E-2</v>
      </c>
      <c r="J36" s="724">
        <f t="shared" si="9"/>
        <v>1.116991576044717E-2</v>
      </c>
      <c r="K36" s="724">
        <f t="shared" si="9"/>
        <v>0.1514800883910149</v>
      </c>
      <c r="M36" s="45"/>
    </row>
    <row r="37" spans="1:13">
      <c r="A37" s="703">
        <f>MAX($A$4:A36)+1</f>
        <v>28</v>
      </c>
      <c r="B37" s="704" t="str">
        <f t="shared" si="2"/>
        <v>LAND USE/LEASE/SALE</v>
      </c>
      <c r="C37" s="715" t="s">
        <v>28</v>
      </c>
      <c r="D37" s="724">
        <f t="shared" si="3"/>
        <v>1</v>
      </c>
      <c r="E37" s="724">
        <f t="shared" si="4"/>
        <v>1.3888903611769896E-2</v>
      </c>
      <c r="F37" s="724">
        <f t="shared" si="5"/>
        <v>0.72316249186319181</v>
      </c>
      <c r="G37" s="724">
        <f t="shared" si="6"/>
        <v>1.9312695169921433E-3</v>
      </c>
      <c r="H37" s="724">
        <f t="shared" si="7"/>
        <v>8.3247264828586142E-4</v>
      </c>
      <c r="I37" s="724">
        <f t="shared" si="8"/>
        <v>9.7534858208298353E-2</v>
      </c>
      <c r="J37" s="724">
        <f t="shared" si="9"/>
        <v>1.116991576044717E-2</v>
      </c>
      <c r="K37" s="724">
        <f t="shared" si="9"/>
        <v>0.1514800883910149</v>
      </c>
      <c r="M37" s="45"/>
    </row>
    <row r="38" spans="1:13">
      <c r="A38" s="703">
        <f>MAX($A$4:A37)+1</f>
        <v>29</v>
      </c>
      <c r="B38" s="704" t="str">
        <f t="shared" si="2"/>
        <v>RIGHT-OF-WAY LEASE</v>
      </c>
      <c r="C38" s="715" t="s">
        <v>28</v>
      </c>
      <c r="D38" s="724">
        <f t="shared" si="3"/>
        <v>1</v>
      </c>
      <c r="E38" s="724">
        <f t="shared" si="4"/>
        <v>1.3888903611769896E-2</v>
      </c>
      <c r="F38" s="724">
        <f t="shared" si="5"/>
        <v>0.72316249186319181</v>
      </c>
      <c r="G38" s="724">
        <f t="shared" si="6"/>
        <v>1.9312695169921433E-3</v>
      </c>
      <c r="H38" s="724">
        <f t="shared" si="7"/>
        <v>8.3247264828586142E-4</v>
      </c>
      <c r="I38" s="724">
        <f t="shared" si="8"/>
        <v>9.7534858208298353E-2</v>
      </c>
      <c r="J38" s="724">
        <f t="shared" si="9"/>
        <v>1.116991576044717E-2</v>
      </c>
      <c r="K38" s="724">
        <f t="shared" si="9"/>
        <v>0.1514800883910149</v>
      </c>
      <c r="M38" s="45"/>
    </row>
    <row r="39" spans="1:13">
      <c r="A39" s="703">
        <f>MAX($A$4:A38)+1</f>
        <v>30</v>
      </c>
      <c r="B39" s="704" t="str">
        <f t="shared" si="2"/>
        <v>MISC SERVICE FEES</v>
      </c>
      <c r="C39" s="715" t="s">
        <v>28</v>
      </c>
      <c r="D39" s="724">
        <f t="shared" si="3"/>
        <v>1</v>
      </c>
      <c r="E39" s="724">
        <f t="shared" si="4"/>
        <v>1.3888903611769896E-2</v>
      </c>
      <c r="F39" s="724">
        <f t="shared" si="5"/>
        <v>0.72316249186319181</v>
      </c>
      <c r="G39" s="724">
        <f t="shared" si="6"/>
        <v>1.9312695169921433E-3</v>
      </c>
      <c r="H39" s="724">
        <f t="shared" si="7"/>
        <v>8.3247264828586142E-4</v>
      </c>
      <c r="I39" s="724">
        <f t="shared" si="8"/>
        <v>9.7534858208298353E-2</v>
      </c>
      <c r="J39" s="724">
        <f t="shared" si="9"/>
        <v>1.116991576044717E-2</v>
      </c>
      <c r="K39" s="724">
        <f t="shared" si="9"/>
        <v>0.1514800883910149</v>
      </c>
      <c r="M39" s="45"/>
    </row>
    <row r="40" spans="1:13">
      <c r="A40" s="703">
        <f>MAX($A$4:A39)+1</f>
        <v>31</v>
      </c>
      <c r="B40" s="704" t="str">
        <f t="shared" si="2"/>
        <v>TRANSMISSION PROCESSING FEE</v>
      </c>
      <c r="C40" s="715" t="s">
        <v>30</v>
      </c>
      <c r="D40" s="724">
        <f t="shared" si="3"/>
        <v>1</v>
      </c>
      <c r="E40" s="724">
        <f t="shared" si="4"/>
        <v>0</v>
      </c>
      <c r="F40" s="724">
        <f t="shared" si="5"/>
        <v>1</v>
      </c>
      <c r="G40" s="724">
        <f t="shared" si="6"/>
        <v>0</v>
      </c>
      <c r="H40" s="724">
        <f t="shared" si="7"/>
        <v>0</v>
      </c>
      <c r="I40" s="724">
        <f t="shared" si="8"/>
        <v>0</v>
      </c>
      <c r="J40" s="724">
        <f t="shared" si="9"/>
        <v>0</v>
      </c>
      <c r="K40" s="724">
        <f t="shared" si="9"/>
        <v>0</v>
      </c>
      <c r="M40" s="45"/>
    </row>
    <row r="41" spans="1:13">
      <c r="A41" s="703">
        <f>MAX($A$4:A40)+1</f>
        <v>32</v>
      </c>
      <c r="B41" s="704" t="str">
        <f t="shared" si="2"/>
        <v>AMORT NONFED PNW AC INTERTIE</v>
      </c>
      <c r="C41" s="715" t="s">
        <v>27</v>
      </c>
      <c r="D41" s="724">
        <f t="shared" si="3"/>
        <v>1</v>
      </c>
      <c r="E41" s="724">
        <f t="shared" si="4"/>
        <v>0</v>
      </c>
      <c r="F41" s="724">
        <f t="shared" si="5"/>
        <v>0</v>
      </c>
      <c r="G41" s="724">
        <f t="shared" si="6"/>
        <v>0</v>
      </c>
      <c r="H41" s="724">
        <f t="shared" si="7"/>
        <v>0</v>
      </c>
      <c r="I41" s="724">
        <f t="shared" si="8"/>
        <v>1</v>
      </c>
      <c r="J41" s="724">
        <f t="shared" si="9"/>
        <v>0</v>
      </c>
      <c r="K41" s="724">
        <f t="shared" si="9"/>
        <v>0</v>
      </c>
      <c r="M41" s="45"/>
    </row>
    <row r="42" spans="1:13">
      <c r="A42" s="703">
        <f>MAX($A$4:A41)+1</f>
        <v>33</v>
      </c>
      <c r="B42" s="704" t="str">
        <f t="shared" si="2"/>
        <v>O&amp;M FEDERAL FACILITY</v>
      </c>
      <c r="C42" s="715" t="s">
        <v>445</v>
      </c>
      <c r="D42" s="724">
        <f t="shared" si="3"/>
        <v>1</v>
      </c>
      <c r="E42" s="724">
        <f t="shared" si="4"/>
        <v>0</v>
      </c>
      <c r="F42" s="724">
        <f t="shared" si="5"/>
        <v>0.49202267961715956</v>
      </c>
      <c r="G42" s="724">
        <f t="shared" si="6"/>
        <v>0</v>
      </c>
      <c r="H42" s="724">
        <f t="shared" si="7"/>
        <v>0</v>
      </c>
      <c r="I42" s="724">
        <f t="shared" si="8"/>
        <v>0</v>
      </c>
      <c r="J42" s="724">
        <f t="shared" si="9"/>
        <v>0.50797732038284049</v>
      </c>
      <c r="K42" s="724">
        <f t="shared" si="9"/>
        <v>0</v>
      </c>
      <c r="M42" s="45"/>
    </row>
    <row r="43" spans="1:13">
      <c r="A43" s="703">
        <f>MAX($A$4:A42)+1</f>
        <v>34</v>
      </c>
      <c r="B43" s="704" t="str">
        <f t="shared" si="2"/>
        <v>O&amp;M NON-FEDERAL FACILITY</v>
      </c>
      <c r="C43" s="715" t="s">
        <v>445</v>
      </c>
      <c r="D43" s="724">
        <f t="shared" si="3"/>
        <v>1</v>
      </c>
      <c r="E43" s="724">
        <f t="shared" si="4"/>
        <v>0</v>
      </c>
      <c r="F43" s="724">
        <f t="shared" si="5"/>
        <v>0.49202267961715956</v>
      </c>
      <c r="G43" s="724">
        <f t="shared" si="6"/>
        <v>0</v>
      </c>
      <c r="H43" s="724">
        <f t="shared" si="7"/>
        <v>0</v>
      </c>
      <c r="I43" s="724">
        <f t="shared" si="8"/>
        <v>0</v>
      </c>
      <c r="J43" s="724">
        <f t="shared" si="9"/>
        <v>0.50797732038284049</v>
      </c>
      <c r="K43" s="724">
        <f t="shared" si="9"/>
        <v>0</v>
      </c>
      <c r="M43" s="45"/>
    </row>
    <row r="44" spans="1:13">
      <c r="A44" s="703">
        <v>40</v>
      </c>
      <c r="B44" s="704" t="str">
        <f t="shared" si="2"/>
        <v>MISC LEASES</v>
      </c>
      <c r="C44" s="715" t="s">
        <v>28</v>
      </c>
      <c r="D44" s="724">
        <f t="shared" si="3"/>
        <v>1</v>
      </c>
      <c r="E44" s="724">
        <f t="shared" si="4"/>
        <v>1.3888903611769896E-2</v>
      </c>
      <c r="F44" s="724">
        <f t="shared" si="5"/>
        <v>0.72316249186319181</v>
      </c>
      <c r="G44" s="724">
        <f t="shared" si="6"/>
        <v>1.9312695169921433E-3</v>
      </c>
      <c r="H44" s="724">
        <f t="shared" si="7"/>
        <v>8.3247264828586142E-4</v>
      </c>
      <c r="I44" s="724">
        <f t="shared" si="8"/>
        <v>9.7534858208298353E-2</v>
      </c>
      <c r="J44" s="724">
        <f t="shared" si="9"/>
        <v>1.116991576044717E-2</v>
      </c>
      <c r="K44" s="724">
        <f t="shared" si="9"/>
        <v>0.1514800883910149</v>
      </c>
      <c r="M44" s="45"/>
    </row>
    <row r="45" spans="1:13">
      <c r="A45" s="703">
        <v>41</v>
      </c>
      <c r="B45" s="704" t="str">
        <f t="shared" si="2"/>
        <v>BPA EQUIPMENT USE</v>
      </c>
      <c r="C45" s="715" t="s">
        <v>28</v>
      </c>
      <c r="D45" s="724">
        <f t="shared" si="3"/>
        <v>1</v>
      </c>
      <c r="E45" s="724">
        <f t="shared" si="4"/>
        <v>1.3888903611769896E-2</v>
      </c>
      <c r="F45" s="724">
        <f t="shared" si="5"/>
        <v>0.72316249186319181</v>
      </c>
      <c r="G45" s="724">
        <f t="shared" si="6"/>
        <v>1.9312695169921433E-3</v>
      </c>
      <c r="H45" s="724">
        <f t="shared" si="7"/>
        <v>8.3247264828586142E-4</v>
      </c>
      <c r="I45" s="724">
        <f t="shared" si="8"/>
        <v>9.7534858208298353E-2</v>
      </c>
      <c r="J45" s="724">
        <f t="shared" si="9"/>
        <v>1.116991576044717E-2</v>
      </c>
      <c r="K45" s="724">
        <f t="shared" si="9"/>
        <v>0.1514800883910149</v>
      </c>
      <c r="M45" s="45"/>
    </row>
    <row r="46" spans="1:13">
      <c r="A46" s="703">
        <v>42</v>
      </c>
      <c r="B46" s="704" t="str">
        <f t="shared" si="2"/>
        <v>TRANSMISSION OPERATOR SERVICES</v>
      </c>
      <c r="C46" s="715" t="s">
        <v>30</v>
      </c>
      <c r="D46" s="724">
        <f t="shared" si="3"/>
        <v>1</v>
      </c>
      <c r="E46" s="724">
        <f t="shared" si="4"/>
        <v>0</v>
      </c>
      <c r="F46" s="724">
        <f t="shared" si="5"/>
        <v>1</v>
      </c>
      <c r="G46" s="724">
        <f t="shared" si="6"/>
        <v>0</v>
      </c>
      <c r="H46" s="724">
        <f t="shared" si="7"/>
        <v>0</v>
      </c>
      <c r="I46" s="724">
        <f t="shared" si="8"/>
        <v>0</v>
      </c>
      <c r="J46" s="724">
        <f t="shared" si="9"/>
        <v>0</v>
      </c>
      <c r="K46" s="724">
        <f t="shared" si="9"/>
        <v>0</v>
      </c>
      <c r="M46" s="45"/>
    </row>
    <row r="47" spans="1:13" s="45" customFormat="1">
      <c r="A47" s="703">
        <v>43</v>
      </c>
      <c r="B47" s="704" t="str">
        <f t="shared" si="2"/>
        <v>3RD AC RAS GENERATION DROPPING</v>
      </c>
      <c r="C47" s="715" t="s">
        <v>27</v>
      </c>
      <c r="D47" s="724">
        <f t="shared" si="3"/>
        <v>1</v>
      </c>
      <c r="E47" s="724">
        <f t="shared" si="4"/>
        <v>0</v>
      </c>
      <c r="F47" s="724">
        <f t="shared" si="5"/>
        <v>0</v>
      </c>
      <c r="G47" s="724">
        <f t="shared" si="6"/>
        <v>0</v>
      </c>
      <c r="H47" s="724">
        <f t="shared" si="7"/>
        <v>0</v>
      </c>
      <c r="I47" s="724">
        <f t="shared" si="8"/>
        <v>1</v>
      </c>
      <c r="J47" s="724">
        <f t="shared" si="9"/>
        <v>0</v>
      </c>
      <c r="K47" s="724">
        <f t="shared" si="9"/>
        <v>0</v>
      </c>
      <c r="L47" s="17"/>
    </row>
    <row r="48" spans="1:13" s="45" customFormat="1">
      <c r="A48" s="703">
        <f>MAX($A$4:A47)+1</f>
        <v>44</v>
      </c>
      <c r="B48" s="704" t="str">
        <f t="shared" si="2"/>
        <v>PTP RESERVATION FEE</v>
      </c>
      <c r="C48" s="715" t="s">
        <v>30</v>
      </c>
      <c r="D48" s="724">
        <f t="shared" si="3"/>
        <v>1</v>
      </c>
      <c r="E48" s="724">
        <f t="shared" si="4"/>
        <v>0</v>
      </c>
      <c r="F48" s="724">
        <f t="shared" si="5"/>
        <v>1</v>
      </c>
      <c r="G48" s="724">
        <f t="shared" si="6"/>
        <v>0</v>
      </c>
      <c r="H48" s="724">
        <f t="shared" si="7"/>
        <v>0</v>
      </c>
      <c r="I48" s="724">
        <f t="shared" si="8"/>
        <v>0</v>
      </c>
      <c r="J48" s="724">
        <f t="shared" si="9"/>
        <v>0</v>
      </c>
      <c r="K48" s="724">
        <f t="shared" si="9"/>
        <v>0</v>
      </c>
      <c r="L48" s="17"/>
    </row>
    <row r="49" spans="1:13" s="45" customFormat="1">
      <c r="A49" s="703">
        <f>MAX($A$4:A48)+1</f>
        <v>45</v>
      </c>
      <c r="B49" s="704" t="str">
        <f t="shared" si="2"/>
        <v>TS SHARE OF RES ENRGY/WHLG-COE</v>
      </c>
      <c r="C49" s="715" t="s">
        <v>30</v>
      </c>
      <c r="D49" s="724">
        <f t="shared" si="3"/>
        <v>1</v>
      </c>
      <c r="E49" s="724">
        <f t="shared" si="4"/>
        <v>0</v>
      </c>
      <c r="F49" s="724">
        <f t="shared" si="5"/>
        <v>1</v>
      </c>
      <c r="G49" s="724">
        <f t="shared" si="6"/>
        <v>0</v>
      </c>
      <c r="H49" s="724">
        <f t="shared" si="7"/>
        <v>0</v>
      </c>
      <c r="I49" s="724">
        <f t="shared" si="8"/>
        <v>0</v>
      </c>
      <c r="J49" s="724">
        <f t="shared" si="9"/>
        <v>0</v>
      </c>
      <c r="K49" s="724">
        <f t="shared" si="9"/>
        <v>0</v>
      </c>
      <c r="L49" s="17"/>
    </row>
    <row r="50" spans="1:13" s="45" customFormat="1">
      <c r="A50" s="703">
        <f>MAX($A$4:A49)+1</f>
        <v>46</v>
      </c>
      <c r="B50" s="704" t="str">
        <f t="shared" si="2"/>
        <v>UFT FIXED DOLLAR AMOUNT</v>
      </c>
      <c r="C50" s="715" t="s">
        <v>446</v>
      </c>
      <c r="D50" s="724">
        <f t="shared" si="3"/>
        <v>1</v>
      </c>
      <c r="E50" s="724">
        <f t="shared" si="4"/>
        <v>7.2666662864972792E-4</v>
      </c>
      <c r="F50" s="724">
        <f t="shared" si="5"/>
        <v>0.47755357410214394</v>
      </c>
      <c r="G50" s="724">
        <f t="shared" si="6"/>
        <v>3.382394523286375E-2</v>
      </c>
      <c r="H50" s="724">
        <f t="shared" si="7"/>
        <v>0</v>
      </c>
      <c r="I50" s="724">
        <f t="shared" si="8"/>
        <v>0.48789581403634258</v>
      </c>
      <c r="J50" s="724">
        <f t="shared" si="9"/>
        <v>0</v>
      </c>
      <c r="K50" s="724">
        <f t="shared" si="9"/>
        <v>0</v>
      </c>
      <c r="L50" s="17"/>
    </row>
    <row r="51" spans="1:13" s="45" customFormat="1">
      <c r="A51" s="703">
        <f>MAX($A$4:A50)+1</f>
        <v>47</v>
      </c>
      <c r="B51" s="704" t="str">
        <f t="shared" si="2"/>
        <v>UFT VARIABLE SERVICE AMT</v>
      </c>
      <c r="C51" s="715" t="s">
        <v>446</v>
      </c>
      <c r="D51" s="724">
        <f t="shared" si="3"/>
        <v>1</v>
      </c>
      <c r="E51" s="724">
        <f t="shared" si="4"/>
        <v>7.2666662864972792E-4</v>
      </c>
      <c r="F51" s="724">
        <f t="shared" si="5"/>
        <v>0.47755357410214394</v>
      </c>
      <c r="G51" s="724">
        <f t="shared" si="6"/>
        <v>3.382394523286375E-2</v>
      </c>
      <c r="H51" s="724">
        <f t="shared" si="7"/>
        <v>0</v>
      </c>
      <c r="I51" s="724">
        <f t="shared" si="8"/>
        <v>0.48789581403634258</v>
      </c>
      <c r="J51" s="724">
        <f t="shared" si="9"/>
        <v>0</v>
      </c>
      <c r="K51" s="724">
        <f t="shared" si="9"/>
        <v>0</v>
      </c>
      <c r="L51" s="17"/>
    </row>
    <row r="52" spans="1:13" s="45" customFormat="1">
      <c r="A52" s="703">
        <f>MAX($A$4:A51)+1</f>
        <v>48</v>
      </c>
      <c r="B52" s="704" t="str">
        <f t="shared" si="2"/>
        <v>PCS WIRELESS LEASES</v>
      </c>
      <c r="C52" s="715" t="s">
        <v>28</v>
      </c>
      <c r="D52" s="724">
        <f t="shared" si="3"/>
        <v>1</v>
      </c>
      <c r="E52" s="724">
        <f t="shared" si="4"/>
        <v>1.3888903611769896E-2</v>
      </c>
      <c r="F52" s="724">
        <f t="shared" si="5"/>
        <v>0.72316249186319181</v>
      </c>
      <c r="G52" s="724">
        <f t="shared" si="6"/>
        <v>1.9312695169921433E-3</v>
      </c>
      <c r="H52" s="724">
        <f t="shared" si="7"/>
        <v>8.3247264828586142E-4</v>
      </c>
      <c r="I52" s="724">
        <f t="shared" si="8"/>
        <v>9.7534858208298353E-2</v>
      </c>
      <c r="J52" s="724">
        <f t="shared" si="9"/>
        <v>1.116991576044717E-2</v>
      </c>
      <c r="K52" s="724">
        <f t="shared" si="9"/>
        <v>0.1514800883910149</v>
      </c>
      <c r="L52" s="17"/>
    </row>
    <row r="53" spans="1:13">
      <c r="A53" s="703">
        <f>MAX($A$4:A52)+1</f>
        <v>49</v>
      </c>
      <c r="B53" s="704" t="str">
        <f t="shared" si="2"/>
        <v>PCS CONSTRUCTION</v>
      </c>
      <c r="C53" s="715" t="s">
        <v>28</v>
      </c>
      <c r="D53" s="724">
        <f t="shared" si="3"/>
        <v>1</v>
      </c>
      <c r="E53" s="724">
        <f t="shared" si="4"/>
        <v>1.3888903611769896E-2</v>
      </c>
      <c r="F53" s="724">
        <f t="shared" si="5"/>
        <v>0.72316249186319181</v>
      </c>
      <c r="G53" s="724">
        <f t="shared" si="6"/>
        <v>1.9312695169921433E-3</v>
      </c>
      <c r="H53" s="724">
        <f t="shared" si="7"/>
        <v>8.3247264828586142E-4</v>
      </c>
      <c r="I53" s="724">
        <f t="shared" si="8"/>
        <v>9.7534858208298353E-2</v>
      </c>
      <c r="J53" s="724">
        <f t="shared" si="9"/>
        <v>1.116991576044717E-2</v>
      </c>
      <c r="K53" s="724">
        <f t="shared" si="9"/>
        <v>0.1514800883910149</v>
      </c>
      <c r="M53" s="45"/>
    </row>
    <row r="54" spans="1:13">
      <c r="A54" s="703">
        <f>MAX($A$4:A53)+1</f>
        <v>50</v>
      </c>
      <c r="B54" s="704" t="str">
        <f t="shared" si="2"/>
        <v>PCS OPERATIONS &amp; MAINTENANCE</v>
      </c>
      <c r="C54" s="715" t="s">
        <v>28</v>
      </c>
      <c r="D54" s="724">
        <f t="shared" si="3"/>
        <v>1</v>
      </c>
      <c r="E54" s="724">
        <f t="shared" si="4"/>
        <v>1.3888903611769896E-2</v>
      </c>
      <c r="F54" s="724">
        <f t="shared" si="5"/>
        <v>0.72316249186319181</v>
      </c>
      <c r="G54" s="724">
        <f t="shared" si="6"/>
        <v>1.9312695169921433E-3</v>
      </c>
      <c r="H54" s="724">
        <f t="shared" si="7"/>
        <v>8.3247264828586142E-4</v>
      </c>
      <c r="I54" s="724">
        <f t="shared" si="8"/>
        <v>9.7534858208298353E-2</v>
      </c>
      <c r="J54" s="724">
        <f t="shared" si="9"/>
        <v>1.116991576044717E-2</v>
      </c>
      <c r="K54" s="724">
        <f t="shared" si="9"/>
        <v>0.1514800883910149</v>
      </c>
      <c r="M54" s="45"/>
    </row>
    <row r="55" spans="1:13" ht="26.25" customHeight="1">
      <c r="A55" s="716"/>
      <c r="B55" s="713" t="s">
        <v>0</v>
      </c>
      <c r="C55" s="692" t="s">
        <v>1</v>
      </c>
      <c r="D55" s="693" t="s">
        <v>2</v>
      </c>
      <c r="E55" s="693" t="s">
        <v>3</v>
      </c>
      <c r="F55" s="693" t="s">
        <v>4</v>
      </c>
      <c r="G55" s="693" t="s">
        <v>5</v>
      </c>
      <c r="H55" s="693" t="s">
        <v>6</v>
      </c>
      <c r="I55" s="693" t="s">
        <v>7</v>
      </c>
      <c r="J55" s="693"/>
      <c r="K55" s="725"/>
    </row>
    <row r="56" spans="1:13">
      <c r="A56" s="726"/>
      <c r="B56" s="727" t="str">
        <f>+CONCATENATE("FY "&amp;$D$4&amp;" Revenue")</f>
        <v>FY 2022 Revenue</v>
      </c>
      <c r="C56" s="728" t="s">
        <v>8</v>
      </c>
      <c r="D56" s="729"/>
      <c r="E56" s="906" t="s">
        <v>10</v>
      </c>
      <c r="F56" s="907"/>
      <c r="G56" s="906" t="s">
        <v>11</v>
      </c>
      <c r="H56" s="906"/>
      <c r="I56" s="728" t="s">
        <v>12</v>
      </c>
      <c r="J56" s="718"/>
      <c r="K56" s="725"/>
    </row>
    <row r="57" spans="1:13">
      <c r="A57" s="730"/>
      <c r="B57" s="727"/>
      <c r="C57" s="731" t="s">
        <v>14</v>
      </c>
      <c r="D57" s="731" t="s">
        <v>15</v>
      </c>
      <c r="E57" s="731" t="s">
        <v>16</v>
      </c>
      <c r="F57" s="731" t="s">
        <v>26</v>
      </c>
      <c r="G57" s="731" t="s">
        <v>18</v>
      </c>
      <c r="H57" s="731" t="s">
        <v>19</v>
      </c>
      <c r="I57" s="731" t="s">
        <v>20</v>
      </c>
      <c r="J57" s="693"/>
      <c r="K57" s="725"/>
    </row>
    <row r="58" spans="1:13" s="44" customFormat="1" ht="23.25" customHeight="1">
      <c r="A58" s="699"/>
      <c r="B58" s="700"/>
      <c r="C58" s="732" t="s">
        <v>23</v>
      </c>
      <c r="D58" s="732" t="s">
        <v>23</v>
      </c>
      <c r="E58" s="732" t="s">
        <v>23</v>
      </c>
      <c r="F58" s="732" t="s">
        <v>23</v>
      </c>
      <c r="G58" s="732" t="s">
        <v>23</v>
      </c>
      <c r="H58" s="732" t="s">
        <v>23</v>
      </c>
      <c r="I58" s="732" t="s">
        <v>23</v>
      </c>
      <c r="J58" s="702"/>
      <c r="K58" s="702"/>
      <c r="L58" s="17"/>
    </row>
    <row r="59" spans="1:13">
      <c r="A59" s="703">
        <f>MAX($A$4:A58)+1</f>
        <v>51</v>
      </c>
      <c r="B59" s="704" t="str">
        <f t="shared" ref="B59:B80" si="10">B6</f>
        <v>SINT AC NON FEDERAL O&amp;M</v>
      </c>
      <c r="C59" s="733">
        <f>+VLOOKUP($B59,$B$6:$D$27,3,0)*VLOOKUP($B59,$B$33:$K$54,4,0)</f>
        <v>0</v>
      </c>
      <c r="D59" s="733">
        <f t="shared" ref="D59:D80" si="11">+VLOOKUP($B59,$B$6:$D$27,3,0)*VLOOKUP($B59,$B$33:$K$54,5,0)</f>
        <v>0</v>
      </c>
      <c r="E59" s="733">
        <f t="shared" ref="E59:E80" si="12">+VLOOKUP($B59,$B$6:$D$27,3,0)*VLOOKUP($B59,$B$33:$K$54,6,0)</f>
        <v>0</v>
      </c>
      <c r="F59" s="733">
        <f t="shared" ref="F59:F80" si="13">+VLOOKUP($B59,$B$6:$D$27,3,0)*VLOOKUP($B59,$B$33:$K$54,7,0)</f>
        <v>0</v>
      </c>
      <c r="G59" s="733">
        <f t="shared" ref="G59:G80" si="14">+VLOOKUP($B59,$B$6:$D$27,3,0)*VLOOKUP($B59,$B$33:$K$54,8,0)</f>
        <v>2209.8000000000002</v>
      </c>
      <c r="H59" s="733">
        <f t="shared" ref="H59:H80" si="15">+VLOOKUP($B59,$B$6:$D$27,3,0)*VLOOKUP($B59,$B$33:$K$54,9,0)</f>
        <v>0</v>
      </c>
      <c r="I59" s="733">
        <f t="shared" ref="I59:I79" si="16">+VLOOKUP($B59,$B$6:$D$27,3,0)*VLOOKUP($B59,$B$33:$K$54,10,0)</f>
        <v>0</v>
      </c>
      <c r="J59" s="734"/>
      <c r="K59" s="725"/>
      <c r="M59" s="46"/>
    </row>
    <row r="60" spans="1:13">
      <c r="A60" s="703">
        <f>MAX($A$4:A59)+1</f>
        <v>52</v>
      </c>
      <c r="B60" s="704" t="str">
        <f t="shared" si="10"/>
        <v>DSI DELIVERY CHARGE</v>
      </c>
      <c r="C60" s="733">
        <f t="shared" ref="C60:C80" si="17">+VLOOKUP($B60,$B$6:$D$27,3,0)*VLOOKUP($B60,$B$33:$K$54,4,0)</f>
        <v>0</v>
      </c>
      <c r="D60" s="733">
        <f t="shared" si="11"/>
        <v>0</v>
      </c>
      <c r="E60" s="733">
        <f t="shared" si="12"/>
        <v>0</v>
      </c>
      <c r="F60" s="733">
        <f t="shared" si="13"/>
        <v>408.33600000000001</v>
      </c>
      <c r="G60" s="733">
        <f t="shared" si="14"/>
        <v>0</v>
      </c>
      <c r="H60" s="733">
        <f t="shared" si="15"/>
        <v>0</v>
      </c>
      <c r="I60" s="733">
        <f t="shared" si="16"/>
        <v>0</v>
      </c>
      <c r="J60" s="734"/>
      <c r="K60" s="725"/>
      <c r="M60" s="46"/>
    </row>
    <row r="61" spans="1:13">
      <c r="A61" s="703">
        <f>MAX($A$4:A60)+1</f>
        <v>53</v>
      </c>
      <c r="B61" s="704" t="str">
        <f t="shared" si="10"/>
        <v>FIBER OPERATIONS &amp; MAINTENANCE</v>
      </c>
      <c r="C61" s="733">
        <f t="shared" si="17"/>
        <v>27.151251003805626</v>
      </c>
      <c r="D61" s="733">
        <f>+VLOOKUP($B61,$B$6:$D$27,3,0)*VLOOKUP($B61,$B$33:$K$54,5,0)</f>
        <v>1413.7016773934513</v>
      </c>
      <c r="E61" s="733">
        <f t="shared" si="12"/>
        <v>3.775415603533737</v>
      </c>
      <c r="F61" s="733">
        <f t="shared" si="13"/>
        <v>1.6273907904622509</v>
      </c>
      <c r="G61" s="733">
        <f t="shared" si="14"/>
        <v>190.66972389310394</v>
      </c>
      <c r="H61" s="733">
        <f t="shared" si="15"/>
        <v>21.835934281109047</v>
      </c>
      <c r="I61" s="733">
        <f t="shared" si="16"/>
        <v>296.12660703453435</v>
      </c>
      <c r="J61" s="734"/>
      <c r="K61" s="725"/>
      <c r="M61" s="46"/>
    </row>
    <row r="62" spans="1:13">
      <c r="A62" s="703">
        <f>MAX($A$4:A61)+1</f>
        <v>54</v>
      </c>
      <c r="B62" s="704" t="str">
        <f t="shared" si="10"/>
        <v>FIBER LEASES</v>
      </c>
      <c r="C62" s="733">
        <f t="shared" si="17"/>
        <v>107.54190566606681</v>
      </c>
      <c r="D62" s="733">
        <f t="shared" si="11"/>
        <v>5599.4536829591207</v>
      </c>
      <c r="E62" s="733">
        <f t="shared" si="12"/>
        <v>14.953837251495818</v>
      </c>
      <c r="F62" s="733">
        <f t="shared" si="13"/>
        <v>6.4458432079312598</v>
      </c>
      <c r="G62" s="733">
        <f t="shared" si="14"/>
        <v>755.21328492057808</v>
      </c>
      <c r="H62" s="733">
        <f t="shared" si="15"/>
        <v>86.48875826238428</v>
      </c>
      <c r="I62" s="733">
        <f t="shared" si="16"/>
        <v>1172.9116877324238</v>
      </c>
      <c r="J62" s="734"/>
      <c r="K62" s="725"/>
      <c r="M62" s="46"/>
    </row>
    <row r="63" spans="1:13">
      <c r="A63" s="703">
        <f>MAX($A$4:A62)+1</f>
        <v>55</v>
      </c>
      <c r="B63" s="704" t="str">
        <f t="shared" si="10"/>
        <v>LAND USE/LEASE/SALE</v>
      </c>
      <c r="C63" s="733">
        <f t="shared" si="17"/>
        <v>3.0014337372143101</v>
      </c>
      <c r="D63" s="733">
        <f t="shared" si="11"/>
        <v>156.27758397911134</v>
      </c>
      <c r="E63" s="733">
        <f t="shared" si="12"/>
        <v>0.41735313643055316</v>
      </c>
      <c r="F63" s="733">
        <f t="shared" si="13"/>
        <v>0.17989983671251952</v>
      </c>
      <c r="G63" s="733">
        <f t="shared" si="14"/>
        <v>21.077575463387898</v>
      </c>
      <c r="H63" s="733">
        <f t="shared" si="15"/>
        <v>2.4138523055799146</v>
      </c>
      <c r="I63" s="733">
        <f t="shared" si="16"/>
        <v>32.735301541563494</v>
      </c>
      <c r="J63" s="734"/>
      <c r="K63" s="725"/>
      <c r="M63" s="46"/>
    </row>
    <row r="64" spans="1:13">
      <c r="A64" s="703">
        <f>MAX($A$4:A63)+1</f>
        <v>56</v>
      </c>
      <c r="B64" s="704" t="str">
        <f t="shared" si="10"/>
        <v>RIGHT-OF-WAY LEASE</v>
      </c>
      <c r="C64" s="733">
        <f t="shared" si="17"/>
        <v>1.1000011660521758</v>
      </c>
      <c r="D64" s="733">
        <f t="shared" si="11"/>
        <v>57.274469355564797</v>
      </c>
      <c r="E64" s="733">
        <f t="shared" si="12"/>
        <v>0.15295654574577774</v>
      </c>
      <c r="F64" s="733">
        <f t="shared" si="13"/>
        <v>6.593183374424022E-2</v>
      </c>
      <c r="G64" s="733">
        <f t="shared" si="14"/>
        <v>7.7247607700972294</v>
      </c>
      <c r="H64" s="733">
        <f t="shared" si="15"/>
        <v>0.88465732822741583</v>
      </c>
      <c r="I64" s="733">
        <f t="shared" si="16"/>
        <v>11.997223000568381</v>
      </c>
      <c r="J64" s="734"/>
      <c r="K64" s="725"/>
      <c r="M64" s="46"/>
    </row>
    <row r="65" spans="1:13">
      <c r="A65" s="703">
        <f>MAX($A$4:A64)+1</f>
        <v>57</v>
      </c>
      <c r="B65" s="704" t="str">
        <f t="shared" si="10"/>
        <v>MISC SERVICE FEES</v>
      </c>
      <c r="C65" s="733">
        <f t="shared" si="17"/>
        <v>4.6000048762181896E-2</v>
      </c>
      <c r="D65" s="733">
        <f t="shared" si="11"/>
        <v>2.3951141730508914</v>
      </c>
      <c r="E65" s="733">
        <f t="shared" si="12"/>
        <v>6.3963646402779781E-3</v>
      </c>
      <c r="F65" s="733">
        <f t="shared" si="13"/>
        <v>2.7571494111227729E-3</v>
      </c>
      <c r="G65" s="733">
        <f t="shared" si="14"/>
        <v>0.3230354503858841</v>
      </c>
      <c r="H65" s="733">
        <f t="shared" si="15"/>
        <v>3.6994760998601023E-2</v>
      </c>
      <c r="I65" s="733">
        <f t="shared" si="16"/>
        <v>0.50170205275104129</v>
      </c>
      <c r="J65" s="735"/>
      <c r="K65" s="725"/>
      <c r="M65" s="46"/>
    </row>
    <row r="66" spans="1:13">
      <c r="A66" s="703">
        <f>MAX($A$4:A65)+1</f>
        <v>58</v>
      </c>
      <c r="B66" s="704" t="str">
        <f t="shared" si="10"/>
        <v>TRANSMISSION PROCESSING FEE</v>
      </c>
      <c r="C66" s="733">
        <f t="shared" si="17"/>
        <v>0</v>
      </c>
      <c r="D66" s="733">
        <f t="shared" si="11"/>
        <v>39.6</v>
      </c>
      <c r="E66" s="733">
        <f t="shared" si="12"/>
        <v>0</v>
      </c>
      <c r="F66" s="733">
        <f t="shared" si="13"/>
        <v>0</v>
      </c>
      <c r="G66" s="733">
        <f t="shared" si="14"/>
        <v>0</v>
      </c>
      <c r="H66" s="733">
        <f t="shared" si="15"/>
        <v>0</v>
      </c>
      <c r="I66" s="733">
        <f t="shared" si="16"/>
        <v>0</v>
      </c>
      <c r="J66" s="735"/>
      <c r="K66" s="725"/>
      <c r="M66" s="46"/>
    </row>
    <row r="67" spans="1:13">
      <c r="A67" s="703">
        <f>MAX($A$4:A66)+1</f>
        <v>59</v>
      </c>
      <c r="B67" s="704" t="str">
        <f t="shared" si="10"/>
        <v>AMORT NONFED PNW AC INTERTIE</v>
      </c>
      <c r="C67" s="733">
        <f t="shared" si="17"/>
        <v>0</v>
      </c>
      <c r="D67" s="733">
        <f t="shared" si="11"/>
        <v>0</v>
      </c>
      <c r="E67" s="733">
        <f t="shared" si="12"/>
        <v>0</v>
      </c>
      <c r="F67" s="733">
        <f t="shared" si="13"/>
        <v>0</v>
      </c>
      <c r="G67" s="733">
        <f t="shared" si="14"/>
        <v>3488.07564</v>
      </c>
      <c r="H67" s="733">
        <f t="shared" si="15"/>
        <v>0</v>
      </c>
      <c r="I67" s="733">
        <f t="shared" si="16"/>
        <v>0</v>
      </c>
      <c r="J67" s="735"/>
      <c r="K67" s="725"/>
      <c r="M67" s="46"/>
    </row>
    <row r="68" spans="1:13">
      <c r="A68" s="703">
        <f>MAX($A$4:A67)+1</f>
        <v>60</v>
      </c>
      <c r="B68" s="704" t="str">
        <f t="shared" si="10"/>
        <v>O&amp;M FEDERAL FACILITY</v>
      </c>
      <c r="C68" s="733">
        <f t="shared" si="17"/>
        <v>0</v>
      </c>
      <c r="D68" s="733">
        <f t="shared" si="11"/>
        <v>115.28485001573742</v>
      </c>
      <c r="E68" s="733">
        <f t="shared" si="12"/>
        <v>0</v>
      </c>
      <c r="F68" s="733">
        <f t="shared" si="13"/>
        <v>0</v>
      </c>
      <c r="G68" s="733">
        <f t="shared" si="14"/>
        <v>0</v>
      </c>
      <c r="H68" s="733">
        <f t="shared" si="15"/>
        <v>119.02314998426259</v>
      </c>
      <c r="I68" s="733">
        <f t="shared" si="16"/>
        <v>0</v>
      </c>
      <c r="J68" s="735"/>
      <c r="K68" s="725"/>
      <c r="M68" s="46"/>
    </row>
    <row r="69" spans="1:13">
      <c r="A69" s="703">
        <f>MAX($A$4:A68)+1</f>
        <v>61</v>
      </c>
      <c r="B69" s="704" t="str">
        <f t="shared" si="10"/>
        <v>O&amp;M NON-FEDERAL FACILITY</v>
      </c>
      <c r="C69" s="733">
        <f t="shared" si="17"/>
        <v>0</v>
      </c>
      <c r="D69" s="733">
        <f t="shared" si="11"/>
        <v>537.93233180687753</v>
      </c>
      <c r="E69" s="733">
        <f t="shared" si="12"/>
        <v>0</v>
      </c>
      <c r="F69" s="733">
        <f t="shared" si="13"/>
        <v>0</v>
      </c>
      <c r="G69" s="733">
        <f t="shared" si="14"/>
        <v>0</v>
      </c>
      <c r="H69" s="733">
        <f t="shared" si="15"/>
        <v>555.37566819312258</v>
      </c>
      <c r="I69" s="733">
        <f t="shared" si="16"/>
        <v>0</v>
      </c>
      <c r="J69" s="735"/>
      <c r="K69" s="725"/>
      <c r="M69" s="46"/>
    </row>
    <row r="70" spans="1:13">
      <c r="A70" s="703">
        <f>MAX($A$4:A69)+1</f>
        <v>62</v>
      </c>
      <c r="B70" s="704" t="str">
        <f t="shared" si="10"/>
        <v>MISC LEASES</v>
      </c>
      <c r="C70" s="733">
        <f t="shared" si="17"/>
        <v>1.4563765438265794</v>
      </c>
      <c r="D70" s="733">
        <f t="shared" si="11"/>
        <v>75.830095734282423</v>
      </c>
      <c r="E70" s="733">
        <f t="shared" si="12"/>
        <v>0.20251099028227915</v>
      </c>
      <c r="F70" s="733">
        <f t="shared" si="13"/>
        <v>8.7292249426607141E-2</v>
      </c>
      <c r="G70" s="733">
        <f t="shared" si="14"/>
        <v>10.227407696863956</v>
      </c>
      <c r="H70" s="733">
        <f t="shared" si="15"/>
        <v>1.1712661967247298</v>
      </c>
      <c r="I70" s="733">
        <f t="shared" si="16"/>
        <v>15.88405058859343</v>
      </c>
      <c r="J70" s="735"/>
      <c r="K70" s="725"/>
      <c r="M70" s="46"/>
    </row>
    <row r="71" spans="1:13">
      <c r="A71" s="703">
        <f>MAX($A$4:A70)+1</f>
        <v>63</v>
      </c>
      <c r="B71" s="704" t="str">
        <f t="shared" si="10"/>
        <v>BPA EQUIPMENT USE</v>
      </c>
      <c r="C71" s="733">
        <f t="shared" si="17"/>
        <v>2.5886694107761201</v>
      </c>
      <c r="D71" s="733">
        <f t="shared" si="11"/>
        <v>134.78591788342914</v>
      </c>
      <c r="E71" s="733">
        <f t="shared" si="12"/>
        <v>0.35995773765506361</v>
      </c>
      <c r="F71" s="733">
        <f t="shared" si="13"/>
        <v>0.15515958207811198</v>
      </c>
      <c r="G71" s="733">
        <f t="shared" si="14"/>
        <v>18.178937012295478</v>
      </c>
      <c r="H71" s="733">
        <f t="shared" si="15"/>
        <v>2.0818935790951851</v>
      </c>
      <c r="I71" s="733">
        <f t="shared" si="16"/>
        <v>28.233464794670919</v>
      </c>
      <c r="J71" s="735"/>
      <c r="K71" s="725"/>
      <c r="M71" s="46"/>
    </row>
    <row r="72" spans="1:13">
      <c r="A72" s="703">
        <f>MAX($A$4:A71)+1</f>
        <v>64</v>
      </c>
      <c r="B72" s="704" t="str">
        <f t="shared" si="10"/>
        <v>TRANSMISSION OPERATOR SERVICES</v>
      </c>
      <c r="C72" s="733">
        <f t="shared" si="17"/>
        <v>0</v>
      </c>
      <c r="D72" s="733">
        <f t="shared" si="11"/>
        <v>673.32</v>
      </c>
      <c r="E72" s="733">
        <f t="shared" si="12"/>
        <v>0</v>
      </c>
      <c r="F72" s="733">
        <f t="shared" si="13"/>
        <v>0</v>
      </c>
      <c r="G72" s="733">
        <f t="shared" si="14"/>
        <v>0</v>
      </c>
      <c r="H72" s="733">
        <f t="shared" si="15"/>
        <v>0</v>
      </c>
      <c r="I72" s="733">
        <f t="shared" si="16"/>
        <v>0</v>
      </c>
      <c r="J72" s="735"/>
      <c r="K72" s="725"/>
      <c r="M72" s="46"/>
    </row>
    <row r="73" spans="1:13">
      <c r="A73" s="703">
        <f>MAX($A$4:A72)+1</f>
        <v>65</v>
      </c>
      <c r="B73" s="704" t="str">
        <f t="shared" si="10"/>
        <v>3RD AC RAS GENERATION DROPPING</v>
      </c>
      <c r="C73" s="733">
        <f t="shared" si="17"/>
        <v>0</v>
      </c>
      <c r="D73" s="733">
        <f t="shared" si="11"/>
        <v>0</v>
      </c>
      <c r="E73" s="733">
        <f t="shared" si="12"/>
        <v>0</v>
      </c>
      <c r="F73" s="733">
        <f t="shared" si="13"/>
        <v>0</v>
      </c>
      <c r="G73" s="733">
        <f t="shared" si="14"/>
        <v>38.112000000000002</v>
      </c>
      <c r="H73" s="733">
        <f t="shared" si="15"/>
        <v>0</v>
      </c>
      <c r="I73" s="733">
        <f t="shared" si="16"/>
        <v>0</v>
      </c>
      <c r="J73" s="735"/>
      <c r="K73" s="725"/>
      <c r="M73" s="46"/>
    </row>
    <row r="74" spans="1:13">
      <c r="A74" s="703">
        <f>MAX($A$4:A73)+1</f>
        <v>66</v>
      </c>
      <c r="B74" s="704" t="str">
        <f t="shared" si="10"/>
        <v>PTP RESERVATION FEE</v>
      </c>
      <c r="C74" s="733">
        <f t="shared" si="17"/>
        <v>0</v>
      </c>
      <c r="D74" s="733">
        <f t="shared" si="11"/>
        <v>378.65100000000001</v>
      </c>
      <c r="E74" s="733">
        <f t="shared" si="12"/>
        <v>0</v>
      </c>
      <c r="F74" s="733">
        <f t="shared" si="13"/>
        <v>0</v>
      </c>
      <c r="G74" s="733">
        <f t="shared" si="14"/>
        <v>0</v>
      </c>
      <c r="H74" s="733">
        <f t="shared" si="15"/>
        <v>0</v>
      </c>
      <c r="I74" s="733">
        <f t="shared" si="16"/>
        <v>0</v>
      </c>
      <c r="J74" s="735"/>
      <c r="K74" s="725"/>
      <c r="M74" s="46"/>
    </row>
    <row r="75" spans="1:13">
      <c r="A75" s="703">
        <f>MAX($A$4:A74)+1</f>
        <v>67</v>
      </c>
      <c r="B75" s="704" t="str">
        <f t="shared" si="10"/>
        <v>TS SHARE OF RES ENRGY/WHLG-COE</v>
      </c>
      <c r="C75" s="733">
        <f t="shared" si="17"/>
        <v>0</v>
      </c>
      <c r="D75" s="733">
        <f t="shared" si="11"/>
        <v>245.697</v>
      </c>
      <c r="E75" s="733">
        <f t="shared" si="12"/>
        <v>0</v>
      </c>
      <c r="F75" s="733">
        <f t="shared" si="13"/>
        <v>0</v>
      </c>
      <c r="G75" s="733">
        <f t="shared" si="14"/>
        <v>0</v>
      </c>
      <c r="H75" s="733">
        <f t="shared" si="15"/>
        <v>0</v>
      </c>
      <c r="I75" s="733">
        <f t="shared" si="16"/>
        <v>0</v>
      </c>
      <c r="J75" s="735"/>
      <c r="K75" s="725"/>
      <c r="M75" s="46"/>
    </row>
    <row r="76" spans="1:13">
      <c r="A76" s="703">
        <f>MAX($A$4:A75)+1</f>
        <v>68</v>
      </c>
      <c r="B76" s="704" t="str">
        <f t="shared" si="10"/>
        <v>UFT FIXED DOLLAR AMOUNT</v>
      </c>
      <c r="C76" s="733">
        <f t="shared" si="17"/>
        <v>2.4850080299921058</v>
      </c>
      <c r="D76" s="733">
        <f t="shared" si="11"/>
        <v>1633.1071492857693</v>
      </c>
      <c r="E76" s="733">
        <f t="shared" si="12"/>
        <v>115.66896317485255</v>
      </c>
      <c r="F76" s="733">
        <f t="shared" si="13"/>
        <v>0</v>
      </c>
      <c r="G76" s="733">
        <f t="shared" si="14"/>
        <v>1668.474879509386</v>
      </c>
      <c r="H76" s="733">
        <f t="shared" si="15"/>
        <v>0</v>
      </c>
      <c r="I76" s="733">
        <f t="shared" si="16"/>
        <v>0</v>
      </c>
      <c r="J76" s="735"/>
      <c r="K76" s="725"/>
      <c r="M76" s="46"/>
    </row>
    <row r="77" spans="1:13">
      <c r="A77" s="703">
        <f>MAX($A$4:A76)+1</f>
        <v>69</v>
      </c>
      <c r="B77" s="704" t="str">
        <f t="shared" si="10"/>
        <v>UFT VARIABLE SERVICE AMT</v>
      </c>
      <c r="C77" s="733">
        <f t="shared" si="17"/>
        <v>0.16581951132483871</v>
      </c>
      <c r="D77" s="733">
        <f t="shared" si="11"/>
        <v>108.97390518151643</v>
      </c>
      <c r="E77" s="733">
        <f t="shared" si="12"/>
        <v>7.7183537105776452</v>
      </c>
      <c r="F77" s="733">
        <f t="shared" si="13"/>
        <v>0</v>
      </c>
      <c r="G77" s="733">
        <f t="shared" si="14"/>
        <v>111.33392159658109</v>
      </c>
      <c r="H77" s="733">
        <f t="shared" si="15"/>
        <v>0</v>
      </c>
      <c r="I77" s="733">
        <f t="shared" si="16"/>
        <v>0</v>
      </c>
      <c r="J77" s="735"/>
      <c r="K77" s="725"/>
      <c r="M77" s="46"/>
    </row>
    <row r="78" spans="1:13">
      <c r="A78" s="703">
        <f>MAX($A$4:A77)+1</f>
        <v>70</v>
      </c>
      <c r="B78" s="704" t="str">
        <f t="shared" si="10"/>
        <v>PCS WIRELESS LEASES</v>
      </c>
      <c r="C78" s="733">
        <f t="shared" si="17"/>
        <v>97.335255402100429</v>
      </c>
      <c r="D78" s="733">
        <f t="shared" si="11"/>
        <v>5068.0174483371829</v>
      </c>
      <c r="E78" s="733">
        <f t="shared" si="12"/>
        <v>13.534589694136887</v>
      </c>
      <c r="F78" s="733">
        <f t="shared" si="13"/>
        <v>5.8340773398053365</v>
      </c>
      <c r="G78" s="733">
        <f t="shared" si="14"/>
        <v>683.53705948878587</v>
      </c>
      <c r="H78" s="733">
        <f t="shared" si="15"/>
        <v>78.280232461381758</v>
      </c>
      <c r="I78" s="733">
        <f t="shared" si="16"/>
        <v>1061.5922972766082</v>
      </c>
      <c r="J78" s="735"/>
      <c r="K78" s="725"/>
      <c r="M78" s="46"/>
    </row>
    <row r="79" spans="1:13">
      <c r="A79" s="703">
        <f>MAX($A$4:A78)+1</f>
        <v>71</v>
      </c>
      <c r="B79" s="704" t="str">
        <f t="shared" si="10"/>
        <v>PCS CONSTRUCTION</v>
      </c>
      <c r="C79" s="733">
        <f t="shared" si="17"/>
        <v>51.666721435784012</v>
      </c>
      <c r="D79" s="733">
        <f t="shared" si="11"/>
        <v>2690.1644697310735</v>
      </c>
      <c r="E79" s="733">
        <f t="shared" si="12"/>
        <v>7.1843226032107728</v>
      </c>
      <c r="F79" s="733">
        <f t="shared" si="13"/>
        <v>3.0967982516234045</v>
      </c>
      <c r="G79" s="733">
        <f t="shared" si="14"/>
        <v>362.82967253486987</v>
      </c>
      <c r="H79" s="733">
        <f t="shared" si="15"/>
        <v>41.552086628863471</v>
      </c>
      <c r="I79" s="733">
        <f t="shared" si="16"/>
        <v>563.50592881457544</v>
      </c>
      <c r="J79" s="735"/>
      <c r="K79" s="725"/>
      <c r="M79" s="46"/>
    </row>
    <row r="80" spans="1:13">
      <c r="A80" s="703">
        <f>MAX($A$4:A79)+1</f>
        <v>72</v>
      </c>
      <c r="B80" s="704" t="str">
        <f t="shared" si="10"/>
        <v>PCS OPERATIONS &amp; MAINTENANCE</v>
      </c>
      <c r="C80" s="733">
        <f t="shared" si="17"/>
        <v>4.3333379268722076</v>
      </c>
      <c r="D80" s="733">
        <f t="shared" si="11"/>
        <v>225.62669746131584</v>
      </c>
      <c r="E80" s="733">
        <f t="shared" si="12"/>
        <v>0.60255608930154869</v>
      </c>
      <c r="F80" s="733">
        <f t="shared" si="13"/>
        <v>0.25973146626518878</v>
      </c>
      <c r="G80" s="733">
        <f t="shared" si="14"/>
        <v>30.430875760989085</v>
      </c>
      <c r="H80" s="733">
        <f t="shared" si="15"/>
        <v>3.485013717259517</v>
      </c>
      <c r="I80" s="733">
        <f>+VLOOKUP($B80,$B$6:$D$27,3,0)*VLOOKUP($B80,$B$33:$K$54,10,0)</f>
        <v>47.26178757799665</v>
      </c>
      <c r="J80" s="735"/>
      <c r="K80" s="725"/>
      <c r="M80" s="46"/>
    </row>
    <row r="81" spans="1:13">
      <c r="A81" s="703">
        <f>MAX($A$4:A80)+1</f>
        <v>73</v>
      </c>
      <c r="B81" s="708" t="str">
        <f>+CONCATENATE("Subtotal "&amp;$B$56)</f>
        <v>Subtotal FY 2022 Revenue</v>
      </c>
      <c r="C81" s="736">
        <f t="shared" ref="C81:I81" si="18">SUM(C59:C80)</f>
        <v>298.87177988257747</v>
      </c>
      <c r="D81" s="736">
        <f t="shared" si="18"/>
        <v>19156.093393297484</v>
      </c>
      <c r="E81" s="736">
        <f t="shared" si="18"/>
        <v>164.57721290186291</v>
      </c>
      <c r="F81" s="736">
        <f t="shared" si="18"/>
        <v>426.09088170746003</v>
      </c>
      <c r="G81" s="736">
        <f t="shared" si="18"/>
        <v>9596.0087740973249</v>
      </c>
      <c r="H81" s="736">
        <f t="shared" si="18"/>
        <v>912.62950769900897</v>
      </c>
      <c r="I81" s="736">
        <f t="shared" si="18"/>
        <v>3230.7500504142854</v>
      </c>
      <c r="J81" s="737"/>
      <c r="K81" s="725"/>
      <c r="M81" s="46"/>
    </row>
    <row r="82" spans="1:13">
      <c r="A82" s="703"/>
      <c r="B82" s="708"/>
      <c r="C82" s="736"/>
      <c r="D82" s="736"/>
      <c r="E82" s="736"/>
      <c r="F82" s="736"/>
      <c r="G82" s="736"/>
      <c r="H82" s="736"/>
      <c r="I82" s="736"/>
      <c r="J82" s="737"/>
      <c r="K82" s="725"/>
      <c r="M82" s="46"/>
    </row>
    <row r="83" spans="1:13" ht="23.25" customHeight="1">
      <c r="A83" s="716"/>
      <c r="B83" s="713" t="s">
        <v>0</v>
      </c>
      <c r="C83" s="738" t="s">
        <v>1</v>
      </c>
      <c r="D83" s="728" t="s">
        <v>2</v>
      </c>
      <c r="E83" s="728" t="s">
        <v>3</v>
      </c>
      <c r="F83" s="728" t="s">
        <v>4</v>
      </c>
      <c r="G83" s="728" t="s">
        <v>5</v>
      </c>
      <c r="H83" s="728" t="s">
        <v>6</v>
      </c>
      <c r="I83" s="728" t="s">
        <v>7</v>
      </c>
      <c r="J83" s="693"/>
      <c r="K83" s="725"/>
    </row>
    <row r="84" spans="1:13">
      <c r="A84" s="726"/>
      <c r="B84" s="727" t="str">
        <f>+CONCATENATE("FY "&amp;$E$4&amp;" Revenue")</f>
        <v>FY 2023 Revenue</v>
      </c>
      <c r="C84" s="728" t="s">
        <v>8</v>
      </c>
      <c r="D84" s="729"/>
      <c r="E84" s="906" t="s">
        <v>10</v>
      </c>
      <c r="F84" s="907"/>
      <c r="G84" s="906" t="s">
        <v>11</v>
      </c>
      <c r="H84" s="907"/>
      <c r="I84" s="728" t="s">
        <v>12</v>
      </c>
      <c r="J84" s="718"/>
      <c r="K84" s="725"/>
    </row>
    <row r="85" spans="1:13">
      <c r="A85" s="730"/>
      <c r="B85" s="727"/>
      <c r="C85" s="731" t="s">
        <v>14</v>
      </c>
      <c r="D85" s="731" t="s">
        <v>15</v>
      </c>
      <c r="E85" s="731" t="s">
        <v>16</v>
      </c>
      <c r="F85" s="731" t="s">
        <v>26</v>
      </c>
      <c r="G85" s="731" t="s">
        <v>18</v>
      </c>
      <c r="H85" s="731" t="s">
        <v>19</v>
      </c>
      <c r="I85" s="731" t="s">
        <v>20</v>
      </c>
      <c r="J85" s="693"/>
      <c r="K85" s="725"/>
    </row>
    <row r="86" spans="1:13" s="44" customFormat="1" ht="23.25" customHeight="1">
      <c r="A86" s="699"/>
      <c r="B86" s="700"/>
      <c r="C86" s="732" t="s">
        <v>23</v>
      </c>
      <c r="D86" s="732" t="s">
        <v>23</v>
      </c>
      <c r="E86" s="732" t="s">
        <v>23</v>
      </c>
      <c r="F86" s="732" t="s">
        <v>23</v>
      </c>
      <c r="G86" s="732" t="s">
        <v>23</v>
      </c>
      <c r="H86" s="732" t="s">
        <v>23</v>
      </c>
      <c r="I86" s="732" t="s">
        <v>23</v>
      </c>
      <c r="J86" s="702"/>
      <c r="K86" s="702"/>
      <c r="L86" s="17"/>
    </row>
    <row r="87" spans="1:13">
      <c r="A87" s="703">
        <f>MAX($A$4:A86)+1</f>
        <v>74</v>
      </c>
      <c r="B87" s="704" t="str">
        <f t="shared" ref="B87:B108" si="19">B6</f>
        <v>SINT AC NON FEDERAL O&amp;M</v>
      </c>
      <c r="C87" s="733">
        <f t="shared" ref="C87:C108" si="20">+VLOOKUP($B87,$B$6:$E$27,4,0)*VLOOKUP($B87,$B$33:$K$54,4,0)</f>
        <v>0</v>
      </c>
      <c r="D87" s="733">
        <f t="shared" ref="D87:D108" si="21">+VLOOKUP($B87,$B$6:$E$27,4,0)*VLOOKUP($B87,$B$33:$K$54,5,0)</f>
        <v>0</v>
      </c>
      <c r="E87" s="733">
        <f t="shared" ref="E87:E108" si="22">+VLOOKUP($B87,$B$6:$E$27,4,0)*VLOOKUP($B87,$B$33:$K$54,6,0)</f>
        <v>0</v>
      </c>
      <c r="F87" s="733">
        <f t="shared" ref="F87:F108" si="23">+VLOOKUP($B87,$B$6:$E$27,4,0)*VLOOKUP($B87,$B$33:$K$54,7,0)</f>
        <v>0</v>
      </c>
      <c r="G87" s="733">
        <f t="shared" ref="G87:G108" si="24">+VLOOKUP($B87,$B$6:$E$27,4,0)*VLOOKUP($B87,$B$33:$K$54,8,0)</f>
        <v>2209.8000000000002</v>
      </c>
      <c r="H87" s="733">
        <f t="shared" ref="H87:H108" si="25">+VLOOKUP($B87,$B$6:$E$27,4,0)*VLOOKUP($B87,$B$33:$K$54,9,0)</f>
        <v>0</v>
      </c>
      <c r="I87" s="733">
        <f t="shared" ref="I87:I108" si="26">+VLOOKUP($B87,$B$6:$E$27,4,0)*VLOOKUP($B87,$B$33:$K$54,10,0)</f>
        <v>0</v>
      </c>
      <c r="J87" s="735"/>
      <c r="K87" s="725"/>
    </row>
    <row r="88" spans="1:13">
      <c r="A88" s="703">
        <f>MAX($A$4:A87)+1</f>
        <v>75</v>
      </c>
      <c r="B88" s="704" t="str">
        <f t="shared" si="19"/>
        <v>DSI DELIVERY CHARGE</v>
      </c>
      <c r="C88" s="733">
        <f t="shared" si="20"/>
        <v>0</v>
      </c>
      <c r="D88" s="733">
        <f t="shared" si="21"/>
        <v>0</v>
      </c>
      <c r="E88" s="733">
        <f t="shared" si="22"/>
        <v>0</v>
      </c>
      <c r="F88" s="733">
        <f t="shared" si="23"/>
        <v>408.33600000000001</v>
      </c>
      <c r="G88" s="733">
        <f t="shared" si="24"/>
        <v>0</v>
      </c>
      <c r="H88" s="733">
        <f t="shared" si="25"/>
        <v>0</v>
      </c>
      <c r="I88" s="733">
        <f t="shared" si="26"/>
        <v>0</v>
      </c>
      <c r="J88" s="735"/>
      <c r="K88" s="725"/>
    </row>
    <row r="89" spans="1:13">
      <c r="A89" s="703">
        <f>MAX($A$4:A88)+1</f>
        <v>76</v>
      </c>
      <c r="B89" s="704" t="str">
        <f t="shared" si="19"/>
        <v>FIBER OPERATIONS &amp; MAINTENANCE</v>
      </c>
      <c r="C89" s="733">
        <f t="shared" si="20"/>
        <v>16.689890330945531</v>
      </c>
      <c r="D89" s="733">
        <f t="shared" si="21"/>
        <v>869.00327182210992</v>
      </c>
      <c r="E89" s="733">
        <f t="shared" si="22"/>
        <v>2.3207502434376481</v>
      </c>
      <c r="F89" s="733">
        <f t="shared" si="23"/>
        <v>1.0003580982179692</v>
      </c>
      <c r="G89" s="733">
        <f t="shared" si="24"/>
        <v>117.20479401709819</v>
      </c>
      <c r="H89" s="733">
        <f t="shared" si="25"/>
        <v>13.422561942886631</v>
      </c>
      <c r="I89" s="733">
        <f t="shared" si="26"/>
        <v>182.02920354530426</v>
      </c>
      <c r="J89" s="735"/>
      <c r="K89" s="725"/>
    </row>
    <row r="90" spans="1:13">
      <c r="A90" s="703">
        <f>MAX($A$4:A89)+1</f>
        <v>77</v>
      </c>
      <c r="B90" s="704" t="str">
        <f t="shared" si="19"/>
        <v>FIBER LEASES</v>
      </c>
      <c r="C90" s="733">
        <f t="shared" si="20"/>
        <v>77.863543233406048</v>
      </c>
      <c r="D90" s="733">
        <f t="shared" si="21"/>
        <v>4054.1712667838019</v>
      </c>
      <c r="E90" s="733">
        <f t="shared" si="22"/>
        <v>10.827023625122145</v>
      </c>
      <c r="F90" s="733">
        <f t="shared" si="23"/>
        <v>4.6669824956884494</v>
      </c>
      <c r="G90" s="733">
        <f t="shared" si="24"/>
        <v>546.79691508768371</v>
      </c>
      <c r="H90" s="733">
        <f t="shared" si="25"/>
        <v>62.620437367716029</v>
      </c>
      <c r="I90" s="733">
        <f t="shared" si="26"/>
        <v>849.22300140658263</v>
      </c>
      <c r="J90" s="735"/>
      <c r="K90" s="725"/>
    </row>
    <row r="91" spans="1:13">
      <c r="A91" s="703">
        <f>MAX($A$4:A90)+1</f>
        <v>78</v>
      </c>
      <c r="B91" s="704" t="str">
        <f t="shared" si="19"/>
        <v>LAND USE/LEASE/SALE</v>
      </c>
      <c r="C91" s="733">
        <f t="shared" si="20"/>
        <v>3.0014337372143101</v>
      </c>
      <c r="D91" s="733">
        <f t="shared" si="21"/>
        <v>156.27758397911134</v>
      </c>
      <c r="E91" s="733">
        <f t="shared" si="22"/>
        <v>0.41735313643055316</v>
      </c>
      <c r="F91" s="733">
        <f t="shared" si="23"/>
        <v>0.17989983671251952</v>
      </c>
      <c r="G91" s="733">
        <f t="shared" si="24"/>
        <v>21.077575463387898</v>
      </c>
      <c r="H91" s="733">
        <f t="shared" si="25"/>
        <v>2.4138523055799146</v>
      </c>
      <c r="I91" s="733">
        <f t="shared" si="26"/>
        <v>32.735301541563494</v>
      </c>
      <c r="J91" s="735"/>
      <c r="K91" s="725"/>
    </row>
    <row r="92" spans="1:13">
      <c r="A92" s="703">
        <f>MAX($A$4:A91)+1</f>
        <v>79</v>
      </c>
      <c r="B92" s="704" t="str">
        <f t="shared" si="19"/>
        <v>RIGHT-OF-WAY LEASE</v>
      </c>
      <c r="C92" s="733">
        <f t="shared" si="20"/>
        <v>1.1000011660521758</v>
      </c>
      <c r="D92" s="733">
        <f t="shared" si="21"/>
        <v>57.274469355564797</v>
      </c>
      <c r="E92" s="733">
        <f t="shared" si="22"/>
        <v>0.15295654574577774</v>
      </c>
      <c r="F92" s="733">
        <f t="shared" si="23"/>
        <v>6.593183374424022E-2</v>
      </c>
      <c r="G92" s="733">
        <f t="shared" si="24"/>
        <v>7.7247607700972294</v>
      </c>
      <c r="H92" s="733">
        <f t="shared" si="25"/>
        <v>0.88465732822741583</v>
      </c>
      <c r="I92" s="733">
        <f t="shared" si="26"/>
        <v>11.997223000568381</v>
      </c>
      <c r="J92" s="735"/>
      <c r="K92" s="725"/>
    </row>
    <row r="93" spans="1:13">
      <c r="A93" s="703">
        <f>MAX($A$4:A92)+1</f>
        <v>80</v>
      </c>
      <c r="B93" s="704" t="str">
        <f t="shared" si="19"/>
        <v>MISC SERVICE FEES</v>
      </c>
      <c r="C93" s="733">
        <f t="shared" si="20"/>
        <v>4.6000048762181896E-2</v>
      </c>
      <c r="D93" s="733">
        <f t="shared" si="21"/>
        <v>2.3951141730508914</v>
      </c>
      <c r="E93" s="733">
        <f t="shared" si="22"/>
        <v>6.3963646402779781E-3</v>
      </c>
      <c r="F93" s="733">
        <f t="shared" si="23"/>
        <v>2.7571494111227729E-3</v>
      </c>
      <c r="G93" s="733">
        <f t="shared" si="24"/>
        <v>0.3230354503858841</v>
      </c>
      <c r="H93" s="733">
        <f t="shared" si="25"/>
        <v>3.6994760998601023E-2</v>
      </c>
      <c r="I93" s="733">
        <f t="shared" si="26"/>
        <v>0.50170205275104129</v>
      </c>
      <c r="J93" s="735"/>
      <c r="K93" s="725"/>
    </row>
    <row r="94" spans="1:13">
      <c r="A94" s="703">
        <f>MAX($A$4:A93)+1</f>
        <v>81</v>
      </c>
      <c r="B94" s="704" t="str">
        <f t="shared" si="19"/>
        <v>TRANSMISSION PROCESSING FEE</v>
      </c>
      <c r="C94" s="733">
        <f t="shared" si="20"/>
        <v>0</v>
      </c>
      <c r="D94" s="733">
        <f t="shared" si="21"/>
        <v>39.6</v>
      </c>
      <c r="E94" s="733">
        <f t="shared" si="22"/>
        <v>0</v>
      </c>
      <c r="F94" s="733">
        <f t="shared" si="23"/>
        <v>0</v>
      </c>
      <c r="G94" s="733">
        <f t="shared" si="24"/>
        <v>0</v>
      </c>
      <c r="H94" s="733">
        <f t="shared" si="25"/>
        <v>0</v>
      </c>
      <c r="I94" s="733">
        <f t="shared" si="26"/>
        <v>0</v>
      </c>
      <c r="J94" s="735"/>
      <c r="K94" s="725"/>
    </row>
    <row r="95" spans="1:13">
      <c r="A95" s="703">
        <f>MAX($A$4:A94)+1</f>
        <v>82</v>
      </c>
      <c r="B95" s="704" t="str">
        <f t="shared" si="19"/>
        <v>AMORT NONFED PNW AC INTERTIE</v>
      </c>
      <c r="C95" s="733">
        <f t="shared" si="20"/>
        <v>0</v>
      </c>
      <c r="D95" s="733">
        <f t="shared" si="21"/>
        <v>0</v>
      </c>
      <c r="E95" s="733">
        <f t="shared" si="22"/>
        <v>0</v>
      </c>
      <c r="F95" s="733">
        <f t="shared" si="23"/>
        <v>0</v>
      </c>
      <c r="G95" s="733">
        <f>+VLOOKUP($B95,$B$6:$E$27,4,0)*VLOOKUP($B95,$B$33:$K$54,8,0)</f>
        <v>3488.07564</v>
      </c>
      <c r="H95" s="733">
        <f t="shared" si="25"/>
        <v>0</v>
      </c>
      <c r="I95" s="733">
        <f t="shared" si="26"/>
        <v>0</v>
      </c>
      <c r="J95" s="735"/>
      <c r="K95" s="725"/>
    </row>
    <row r="96" spans="1:13">
      <c r="A96" s="703">
        <f>MAX($A$4:A95)+1</f>
        <v>83</v>
      </c>
      <c r="B96" s="704" t="str">
        <f t="shared" si="19"/>
        <v>O&amp;M FEDERAL FACILITY</v>
      </c>
      <c r="C96" s="733">
        <f t="shared" si="20"/>
        <v>0</v>
      </c>
      <c r="D96" s="733">
        <f t="shared" si="21"/>
        <v>115.28485001573742</v>
      </c>
      <c r="E96" s="733">
        <f t="shared" si="22"/>
        <v>0</v>
      </c>
      <c r="F96" s="733">
        <f t="shared" si="23"/>
        <v>0</v>
      </c>
      <c r="G96" s="733">
        <f t="shared" si="24"/>
        <v>0</v>
      </c>
      <c r="H96" s="733">
        <f t="shared" si="25"/>
        <v>119.02314998426259</v>
      </c>
      <c r="I96" s="733">
        <f t="shared" si="26"/>
        <v>0</v>
      </c>
      <c r="J96" s="735"/>
      <c r="K96" s="725"/>
    </row>
    <row r="97" spans="1:11">
      <c r="A97" s="703">
        <f>MAX($A$4:A96)+1</f>
        <v>84</v>
      </c>
      <c r="B97" s="704" t="str">
        <f t="shared" si="19"/>
        <v>O&amp;M NON-FEDERAL FACILITY</v>
      </c>
      <c r="C97" s="733">
        <f t="shared" si="20"/>
        <v>0</v>
      </c>
      <c r="D97" s="733">
        <f t="shared" si="21"/>
        <v>537.93233180687753</v>
      </c>
      <c r="E97" s="733">
        <f t="shared" si="22"/>
        <v>0</v>
      </c>
      <c r="F97" s="733">
        <f t="shared" si="23"/>
        <v>0</v>
      </c>
      <c r="G97" s="733">
        <f t="shared" si="24"/>
        <v>0</v>
      </c>
      <c r="H97" s="733">
        <f t="shared" si="25"/>
        <v>555.37566819312258</v>
      </c>
      <c r="I97" s="733">
        <f t="shared" si="26"/>
        <v>0</v>
      </c>
      <c r="J97" s="735"/>
      <c r="K97" s="725"/>
    </row>
    <row r="98" spans="1:11">
      <c r="A98" s="703">
        <f>MAX($A$4:A97)+1</f>
        <v>85</v>
      </c>
      <c r="B98" s="704" t="str">
        <f t="shared" si="19"/>
        <v>MISC LEASES</v>
      </c>
      <c r="C98" s="733">
        <f t="shared" si="20"/>
        <v>1.4563765438265794</v>
      </c>
      <c r="D98" s="733">
        <f t="shared" si="21"/>
        <v>75.830095734282423</v>
      </c>
      <c r="E98" s="733">
        <f t="shared" si="22"/>
        <v>0.20251099028227915</v>
      </c>
      <c r="F98" s="733">
        <f t="shared" si="23"/>
        <v>8.7292249426607141E-2</v>
      </c>
      <c r="G98" s="733">
        <f t="shared" si="24"/>
        <v>10.227407696863956</v>
      </c>
      <c r="H98" s="733">
        <f t="shared" si="25"/>
        <v>1.1712661967247298</v>
      </c>
      <c r="I98" s="733">
        <f t="shared" si="26"/>
        <v>15.88405058859343</v>
      </c>
      <c r="J98" s="735"/>
      <c r="K98" s="725"/>
    </row>
    <row r="99" spans="1:11">
      <c r="A99" s="703">
        <f>MAX($A$4:A98)+1</f>
        <v>86</v>
      </c>
      <c r="B99" s="704" t="str">
        <f t="shared" si="19"/>
        <v>BPA EQUIPMENT USE</v>
      </c>
      <c r="C99" s="733">
        <f t="shared" si="20"/>
        <v>2.5886694107761201</v>
      </c>
      <c r="D99" s="733">
        <f t="shared" si="21"/>
        <v>134.78591788342914</v>
      </c>
      <c r="E99" s="733">
        <f t="shared" si="22"/>
        <v>0.35995773765506361</v>
      </c>
      <c r="F99" s="733">
        <f t="shared" si="23"/>
        <v>0.15515958207811198</v>
      </c>
      <c r="G99" s="733">
        <f t="shared" si="24"/>
        <v>18.178937012295478</v>
      </c>
      <c r="H99" s="733">
        <f t="shared" si="25"/>
        <v>2.0818935790951851</v>
      </c>
      <c r="I99" s="733">
        <f t="shared" si="26"/>
        <v>28.233464794670919</v>
      </c>
      <c r="J99" s="735"/>
      <c r="K99" s="725"/>
    </row>
    <row r="100" spans="1:11">
      <c r="A100" s="703">
        <f>MAX($A$4:A99)+1</f>
        <v>87</v>
      </c>
      <c r="B100" s="704" t="str">
        <f t="shared" si="19"/>
        <v>TRANSMISSION OPERATOR SERVICES</v>
      </c>
      <c r="C100" s="733">
        <f t="shared" si="20"/>
        <v>0</v>
      </c>
      <c r="D100" s="733">
        <f t="shared" si="21"/>
        <v>673.32</v>
      </c>
      <c r="E100" s="733">
        <f t="shared" si="22"/>
        <v>0</v>
      </c>
      <c r="F100" s="733">
        <f t="shared" si="23"/>
        <v>0</v>
      </c>
      <c r="G100" s="733">
        <f t="shared" si="24"/>
        <v>0</v>
      </c>
      <c r="H100" s="733">
        <f t="shared" si="25"/>
        <v>0</v>
      </c>
      <c r="I100" s="733">
        <f t="shared" si="26"/>
        <v>0</v>
      </c>
      <c r="J100" s="735"/>
      <c r="K100" s="725"/>
    </row>
    <row r="101" spans="1:11">
      <c r="A101" s="703">
        <f>MAX($A$4:A100)+1</f>
        <v>88</v>
      </c>
      <c r="B101" s="704" t="str">
        <f t="shared" si="19"/>
        <v>3RD AC RAS GENERATION DROPPING</v>
      </c>
      <c r="C101" s="733">
        <f t="shared" si="20"/>
        <v>0</v>
      </c>
      <c r="D101" s="733">
        <f t="shared" si="21"/>
        <v>0</v>
      </c>
      <c r="E101" s="733">
        <f t="shared" si="22"/>
        <v>0</v>
      </c>
      <c r="F101" s="733">
        <f t="shared" si="23"/>
        <v>0</v>
      </c>
      <c r="G101" s="733">
        <f t="shared" si="24"/>
        <v>38.112000000000002</v>
      </c>
      <c r="H101" s="733">
        <f t="shared" si="25"/>
        <v>0</v>
      </c>
      <c r="I101" s="733">
        <f t="shared" si="26"/>
        <v>0</v>
      </c>
      <c r="J101" s="735"/>
      <c r="K101" s="725"/>
    </row>
    <row r="102" spans="1:11">
      <c r="A102" s="703">
        <f>MAX($A$4:A101)+1</f>
        <v>89</v>
      </c>
      <c r="B102" s="704" t="str">
        <f t="shared" si="19"/>
        <v>PTP RESERVATION FEE</v>
      </c>
      <c r="C102" s="733">
        <f t="shared" si="20"/>
        <v>0</v>
      </c>
      <c r="D102" s="733">
        <f t="shared" si="21"/>
        <v>332.661</v>
      </c>
      <c r="E102" s="733">
        <f t="shared" si="22"/>
        <v>0</v>
      </c>
      <c r="F102" s="733">
        <f t="shared" si="23"/>
        <v>0</v>
      </c>
      <c r="G102" s="733">
        <f t="shared" si="24"/>
        <v>0</v>
      </c>
      <c r="H102" s="733">
        <f t="shared" si="25"/>
        <v>0</v>
      </c>
      <c r="I102" s="733">
        <f t="shared" si="26"/>
        <v>0</v>
      </c>
      <c r="J102" s="735"/>
      <c r="K102" s="725"/>
    </row>
    <row r="103" spans="1:11">
      <c r="A103" s="703">
        <f>MAX($A$4:A102)+1</f>
        <v>90</v>
      </c>
      <c r="B103" s="704" t="str">
        <f t="shared" si="19"/>
        <v>TS SHARE OF RES ENRGY/WHLG-COE</v>
      </c>
      <c r="C103" s="733">
        <f t="shared" si="20"/>
        <v>0</v>
      </c>
      <c r="D103" s="733">
        <f t="shared" si="21"/>
        <v>245.697</v>
      </c>
      <c r="E103" s="733">
        <f t="shared" si="22"/>
        <v>0</v>
      </c>
      <c r="F103" s="733">
        <f t="shared" si="23"/>
        <v>0</v>
      </c>
      <c r="G103" s="733">
        <f t="shared" si="24"/>
        <v>0</v>
      </c>
      <c r="H103" s="733">
        <f t="shared" si="25"/>
        <v>0</v>
      </c>
      <c r="I103" s="733">
        <f t="shared" si="26"/>
        <v>0</v>
      </c>
      <c r="J103" s="735"/>
      <c r="K103" s="725"/>
    </row>
    <row r="104" spans="1:11">
      <c r="A104" s="703">
        <f>MAX($A$4:A103)+1</f>
        <v>91</v>
      </c>
      <c r="B104" s="704" t="str">
        <f t="shared" si="19"/>
        <v>UFT FIXED DOLLAR AMOUNT</v>
      </c>
      <c r="C104" s="733">
        <f t="shared" si="20"/>
        <v>2.4751195505094405</v>
      </c>
      <c r="D104" s="733">
        <f t="shared" si="21"/>
        <v>1626.6086002493873</v>
      </c>
      <c r="E104" s="733">
        <f t="shared" si="22"/>
        <v>115.20868692812374</v>
      </c>
      <c r="F104" s="733">
        <f t="shared" si="23"/>
        <v>0</v>
      </c>
      <c r="G104" s="733">
        <f t="shared" si="24"/>
        <v>1661.8355932719796</v>
      </c>
      <c r="H104" s="733">
        <f t="shared" si="25"/>
        <v>0</v>
      </c>
      <c r="I104" s="733">
        <f t="shared" si="26"/>
        <v>0</v>
      </c>
      <c r="J104" s="735"/>
      <c r="K104" s="725"/>
    </row>
    <row r="105" spans="1:11">
      <c r="A105" s="703">
        <f>MAX($A$4:A104)+1</f>
        <v>92</v>
      </c>
      <c r="B105" s="704" t="str">
        <f t="shared" si="19"/>
        <v>UFT VARIABLE SERVICE AMT</v>
      </c>
      <c r="C105" s="733">
        <f t="shared" si="20"/>
        <v>0.16581951132483871</v>
      </c>
      <c r="D105" s="733">
        <f t="shared" si="21"/>
        <v>108.97390518151643</v>
      </c>
      <c r="E105" s="733">
        <f t="shared" si="22"/>
        <v>7.7183537105776452</v>
      </c>
      <c r="F105" s="733">
        <f t="shared" si="23"/>
        <v>0</v>
      </c>
      <c r="G105" s="733">
        <f t="shared" si="24"/>
        <v>111.33392159658109</v>
      </c>
      <c r="H105" s="733">
        <f t="shared" si="25"/>
        <v>0</v>
      </c>
      <c r="I105" s="733">
        <f t="shared" si="26"/>
        <v>0</v>
      </c>
      <c r="J105" s="735"/>
      <c r="K105" s="725"/>
    </row>
    <row r="106" spans="1:11">
      <c r="A106" s="703">
        <f>MAX($A$4:A105)+1</f>
        <v>93</v>
      </c>
      <c r="B106" s="704" t="str">
        <f t="shared" si="19"/>
        <v>PCS WIRELESS LEASES</v>
      </c>
      <c r="C106" s="733">
        <f t="shared" si="20"/>
        <v>97.335255402100429</v>
      </c>
      <c r="D106" s="733">
        <f t="shared" si="21"/>
        <v>5068.0174483371829</v>
      </c>
      <c r="E106" s="733">
        <f t="shared" si="22"/>
        <v>13.534589694136887</v>
      </c>
      <c r="F106" s="733">
        <f t="shared" si="23"/>
        <v>5.8340773398053365</v>
      </c>
      <c r="G106" s="733">
        <f t="shared" si="24"/>
        <v>683.53705948878587</v>
      </c>
      <c r="H106" s="733">
        <f t="shared" si="25"/>
        <v>78.280232461381758</v>
      </c>
      <c r="I106" s="733">
        <f t="shared" si="26"/>
        <v>1061.5922972766082</v>
      </c>
      <c r="J106" s="735"/>
      <c r="K106" s="725"/>
    </row>
    <row r="107" spans="1:11">
      <c r="A107" s="703">
        <f>MAX($A$4:A106)+1</f>
        <v>94</v>
      </c>
      <c r="B107" s="704" t="str">
        <f t="shared" si="19"/>
        <v>PCS CONSTRUCTION</v>
      </c>
      <c r="C107" s="733">
        <f t="shared" si="20"/>
        <v>51.666721435784012</v>
      </c>
      <c r="D107" s="733">
        <f t="shared" si="21"/>
        <v>2690.1644697310735</v>
      </c>
      <c r="E107" s="733">
        <f t="shared" si="22"/>
        <v>7.1843226032107728</v>
      </c>
      <c r="F107" s="733">
        <f t="shared" si="23"/>
        <v>3.0967982516234045</v>
      </c>
      <c r="G107" s="733">
        <f t="shared" si="24"/>
        <v>362.82967253486987</v>
      </c>
      <c r="H107" s="733">
        <f t="shared" si="25"/>
        <v>41.552086628863471</v>
      </c>
      <c r="I107" s="733">
        <f t="shared" si="26"/>
        <v>563.50592881457544</v>
      </c>
      <c r="J107" s="735"/>
      <c r="K107" s="725"/>
    </row>
    <row r="108" spans="1:11">
      <c r="A108" s="703">
        <f>MAX($A$4:A107)+1</f>
        <v>95</v>
      </c>
      <c r="B108" s="704" t="str">
        <f t="shared" si="19"/>
        <v>PCS OPERATIONS &amp; MAINTENANCE</v>
      </c>
      <c r="C108" s="733">
        <f t="shared" si="20"/>
        <v>4.3333379268722076</v>
      </c>
      <c r="D108" s="733">
        <f t="shared" si="21"/>
        <v>225.62669746131584</v>
      </c>
      <c r="E108" s="733">
        <f t="shared" si="22"/>
        <v>0.60255608930154869</v>
      </c>
      <c r="F108" s="733">
        <f t="shared" si="23"/>
        <v>0.25973146626518878</v>
      </c>
      <c r="G108" s="733">
        <f t="shared" si="24"/>
        <v>30.430875760989085</v>
      </c>
      <c r="H108" s="733">
        <f t="shared" si="25"/>
        <v>3.485013717259517</v>
      </c>
      <c r="I108" s="733">
        <f t="shared" si="26"/>
        <v>47.26178757799665</v>
      </c>
      <c r="J108" s="735"/>
      <c r="K108" s="725"/>
    </row>
    <row r="109" spans="1:11">
      <c r="A109" s="703">
        <f>MAX($A$4:A108)+1</f>
        <v>96</v>
      </c>
      <c r="B109" s="708" t="str">
        <f>+CONCATENATE("Subtotal "&amp;$B$84)</f>
        <v>Subtotal FY 2023 Revenue</v>
      </c>
      <c r="C109" s="736">
        <f t="shared" ref="C109:I109" si="27">SUM(C87:C108)</f>
        <v>258.72216829757389</v>
      </c>
      <c r="D109" s="736">
        <f t="shared" si="27"/>
        <v>17013.624022514443</v>
      </c>
      <c r="E109" s="736">
        <f t="shared" si="27"/>
        <v>158.53545766866432</v>
      </c>
      <c r="F109" s="736">
        <f t="shared" si="27"/>
        <v>423.68498830297295</v>
      </c>
      <c r="G109" s="736">
        <f t="shared" si="27"/>
        <v>9307.4881881510191</v>
      </c>
      <c r="H109" s="736">
        <f t="shared" si="27"/>
        <v>880.34781446611839</v>
      </c>
      <c r="I109" s="736">
        <f t="shared" si="27"/>
        <v>2792.9639605992143</v>
      </c>
      <c r="J109" s="709"/>
      <c r="K109" s="691"/>
    </row>
    <row r="111" spans="1:11">
      <c r="A111" s="844"/>
    </row>
    <row r="112" spans="1:11">
      <c r="A112" s="47" t="s">
        <v>114</v>
      </c>
    </row>
    <row r="113" spans="1:18">
      <c r="A113" s="15"/>
      <c r="B113" s="16" t="s">
        <v>308</v>
      </c>
      <c r="C113" s="17"/>
    </row>
    <row r="114" spans="1:18">
      <c r="A114" s="15"/>
      <c r="B114" s="904"/>
      <c r="C114" s="905"/>
      <c r="D114" s="905"/>
      <c r="E114" s="905"/>
      <c r="F114" s="905"/>
      <c r="G114" s="905"/>
      <c r="H114" s="905"/>
      <c r="I114" s="905"/>
    </row>
    <row r="115" spans="1:18">
      <c r="A115" s="16"/>
      <c r="B115" s="19"/>
      <c r="E115" s="20"/>
      <c r="F115" s="17"/>
    </row>
    <row r="116" spans="1:18">
      <c r="A116" s="21" t="s">
        <v>187</v>
      </c>
      <c r="B116" s="16" t="s">
        <v>138</v>
      </c>
      <c r="C116" s="17"/>
      <c r="D116" s="17"/>
      <c r="E116" s="17"/>
      <c r="F116" s="17"/>
    </row>
    <row r="117" spans="1:18">
      <c r="A117" s="21"/>
      <c r="C117" s="22" t="s">
        <v>13</v>
      </c>
      <c r="D117" s="23" t="s">
        <v>285</v>
      </c>
      <c r="E117" s="23" t="s">
        <v>286</v>
      </c>
      <c r="F117" s="23" t="s">
        <v>287</v>
      </c>
      <c r="G117" s="23" t="s">
        <v>288</v>
      </c>
      <c r="H117" s="23" t="s">
        <v>289</v>
      </c>
      <c r="I117" s="23" t="s">
        <v>290</v>
      </c>
      <c r="J117" s="23" t="s">
        <v>291</v>
      </c>
    </row>
    <row r="118" spans="1:18">
      <c r="B118" s="24" t="s">
        <v>292</v>
      </c>
      <c r="C118" s="25">
        <f>SUM(D118:J118)</f>
        <v>174399.10410732956</v>
      </c>
      <c r="D118" s="25">
        <f>'T-10.1'!F14</f>
        <v>174399.10410732956</v>
      </c>
      <c r="E118" s="25">
        <f>'T-10.1'!F68</f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</row>
    <row r="119" spans="1:18">
      <c r="A119" s="17"/>
      <c r="B119" s="26" t="s">
        <v>293</v>
      </c>
      <c r="C119" s="27">
        <f>'T-1'!C33</f>
        <v>1151300.5171818617</v>
      </c>
      <c r="D119" s="28"/>
      <c r="E119" s="28"/>
      <c r="F119" s="28"/>
      <c r="G119" s="28"/>
      <c r="H119" s="28"/>
      <c r="I119" s="28"/>
      <c r="J119" s="28"/>
    </row>
    <row r="120" spans="1:18">
      <c r="B120" s="29" t="s">
        <v>294</v>
      </c>
      <c r="C120" s="30">
        <f t="shared" ref="C120:J120" si="28">C118/$C$119</f>
        <v>0.1514800883910149</v>
      </c>
      <c r="D120" s="31">
        <f t="shared" si="28"/>
        <v>0.1514800883910149</v>
      </c>
      <c r="E120" s="31">
        <f t="shared" si="28"/>
        <v>0</v>
      </c>
      <c r="F120" s="30">
        <f t="shared" si="28"/>
        <v>0</v>
      </c>
      <c r="G120" s="30">
        <f t="shared" si="28"/>
        <v>0</v>
      </c>
      <c r="H120" s="30">
        <f t="shared" si="28"/>
        <v>0</v>
      </c>
      <c r="I120" s="30">
        <f t="shared" si="28"/>
        <v>0</v>
      </c>
      <c r="J120" s="30">
        <f t="shared" si="28"/>
        <v>0</v>
      </c>
      <c r="K120" s="203"/>
      <c r="L120" s="203"/>
      <c r="M120" s="203"/>
      <c r="N120" s="203"/>
      <c r="O120" s="203"/>
      <c r="P120" s="203"/>
      <c r="Q120" s="203"/>
      <c r="R120" s="203"/>
    </row>
    <row r="121" spans="1:18">
      <c r="B121" s="32" t="s">
        <v>295</v>
      </c>
      <c r="C121" s="17"/>
      <c r="D121" s="17"/>
      <c r="E121" s="17"/>
      <c r="F121" s="17"/>
      <c r="K121" s="203"/>
      <c r="L121" s="203"/>
      <c r="M121" s="203"/>
      <c r="N121" s="203"/>
      <c r="O121" s="203"/>
      <c r="P121" s="203"/>
      <c r="Q121" s="203"/>
      <c r="R121" s="203"/>
    </row>
    <row r="122" spans="1:18">
      <c r="B122" s="33" t="s">
        <v>296</v>
      </c>
      <c r="C122" s="22" t="s">
        <v>13</v>
      </c>
      <c r="D122" s="23" t="s">
        <v>297</v>
      </c>
      <c r="E122" s="23" t="s">
        <v>15</v>
      </c>
      <c r="F122" s="23" t="s">
        <v>298</v>
      </c>
      <c r="G122" s="23" t="s">
        <v>299</v>
      </c>
      <c r="H122" s="23" t="s">
        <v>300</v>
      </c>
      <c r="I122" s="23" t="s">
        <v>367</v>
      </c>
      <c r="J122" s="23" t="s">
        <v>115</v>
      </c>
      <c r="K122" s="203"/>
      <c r="L122" s="203"/>
      <c r="M122" s="203"/>
      <c r="N122" s="203"/>
      <c r="O122" s="203"/>
      <c r="P122" s="203"/>
      <c r="Q122" s="203"/>
      <c r="R122" s="203"/>
    </row>
    <row r="123" spans="1:18">
      <c r="A123" s="17"/>
      <c r="B123" s="34" t="s">
        <v>450</v>
      </c>
      <c r="C123" s="35">
        <f>SUM(D123:J123)</f>
        <v>6568458.293156337</v>
      </c>
      <c r="D123" s="36">
        <f>'T-1'!D26</f>
        <v>103577.95317044543</v>
      </c>
      <c r="E123" s="36">
        <f>'T-1'!E26</f>
        <v>5393060.0147122145</v>
      </c>
      <c r="F123" s="36">
        <f>'T-1'!H26</f>
        <v>14402.644671031005</v>
      </c>
      <c r="G123" s="36">
        <f>'T-1'!I26</f>
        <v>6208.2519535061892</v>
      </c>
      <c r="H123" s="36">
        <f>'T-1'!F26</f>
        <v>727376.41921742586</v>
      </c>
      <c r="I123" s="36">
        <f>'T-1'!G26</f>
        <v>83300.81652902934</v>
      </c>
      <c r="J123" s="36">
        <f>'T-1'!J26</f>
        <v>240532.19290268479</v>
      </c>
      <c r="K123" s="203"/>
      <c r="L123" s="203"/>
      <c r="M123" s="203"/>
      <c r="N123" s="203"/>
      <c r="O123" s="203"/>
      <c r="P123" s="203"/>
      <c r="Q123" s="203"/>
      <c r="R123" s="203"/>
    </row>
    <row r="124" spans="1:18">
      <c r="A124" s="17"/>
      <c r="B124" s="34" t="s">
        <v>301</v>
      </c>
      <c r="C124" s="37">
        <f>SUM(D124:I124)</f>
        <v>1.0000000000000002</v>
      </c>
      <c r="D124" s="38">
        <f t="shared" ref="D124:I124" si="29">D123/($C$123-$J$123)</f>
        <v>1.6368388557238926E-2</v>
      </c>
      <c r="E124" s="38">
        <f t="shared" si="29"/>
        <v>0.85226343185266284</v>
      </c>
      <c r="F124" s="38">
        <f t="shared" si="29"/>
        <v>2.2760450174115782E-3</v>
      </c>
      <c r="G124" s="38">
        <f t="shared" si="29"/>
        <v>9.8108793547025384E-4</v>
      </c>
      <c r="H124" s="38">
        <f t="shared" si="29"/>
        <v>0.11494704705673939</v>
      </c>
      <c r="I124" s="38">
        <f t="shared" si="29"/>
        <v>1.3163999580477127E-2</v>
      </c>
      <c r="K124" s="203"/>
      <c r="L124" s="203"/>
      <c r="M124" s="203"/>
      <c r="N124" s="203"/>
      <c r="O124" s="203"/>
      <c r="P124" s="203"/>
      <c r="Q124" s="203"/>
      <c r="R124" s="203"/>
    </row>
    <row r="125" spans="1:18">
      <c r="B125" s="39" t="s">
        <v>302</v>
      </c>
      <c r="D125" s="40">
        <f t="shared" ref="D125:I125" si="30">D124*(1-$J$125)</f>
        <v>1.3888903611769896E-2</v>
      </c>
      <c r="E125" s="40">
        <f t="shared" si="30"/>
        <v>0.72316249186319181</v>
      </c>
      <c r="F125" s="40">
        <f t="shared" si="30"/>
        <v>1.9312695169921433E-3</v>
      </c>
      <c r="G125" s="40">
        <f t="shared" si="30"/>
        <v>8.3247264828586142E-4</v>
      </c>
      <c r="H125" s="40">
        <f t="shared" si="30"/>
        <v>9.7534858208298353E-2</v>
      </c>
      <c r="I125" s="40">
        <f t="shared" si="30"/>
        <v>1.116991576044717E-2</v>
      </c>
      <c r="J125" s="40">
        <f>D120+E120</f>
        <v>0.1514800883910149</v>
      </c>
      <c r="K125" s="203"/>
      <c r="L125" s="203"/>
      <c r="M125" s="203"/>
      <c r="N125" s="203"/>
      <c r="O125" s="203"/>
      <c r="P125" s="203"/>
      <c r="Q125" s="203"/>
      <c r="R125" s="203"/>
    </row>
    <row r="126" spans="1:18">
      <c r="B126" s="39"/>
      <c r="D126" s="41"/>
      <c r="E126" s="41"/>
      <c r="F126" s="41"/>
      <c r="G126" s="41"/>
      <c r="H126" s="41"/>
      <c r="I126" s="41"/>
      <c r="J126" s="41"/>
      <c r="K126" s="203"/>
      <c r="L126" s="203"/>
      <c r="M126" s="203"/>
      <c r="N126" s="203"/>
      <c r="O126" s="203"/>
      <c r="P126" s="203"/>
      <c r="Q126" s="203"/>
      <c r="R126" s="203"/>
    </row>
    <row r="127" spans="1:18">
      <c r="A127" s="21" t="s">
        <v>139</v>
      </c>
      <c r="B127" s="16" t="s">
        <v>118</v>
      </c>
      <c r="C127" s="17"/>
      <c r="D127" s="17"/>
      <c r="E127" s="17"/>
      <c r="F127" s="17"/>
      <c r="J127" s="41"/>
      <c r="K127" s="203"/>
      <c r="L127" s="203"/>
      <c r="M127" s="203"/>
      <c r="N127" s="203"/>
      <c r="O127" s="203"/>
      <c r="P127" s="203"/>
      <c r="Q127" s="203"/>
      <c r="R127" s="203"/>
    </row>
    <row r="128" spans="1:18">
      <c r="A128" s="21" t="s">
        <v>140</v>
      </c>
      <c r="B128" s="16" t="s">
        <v>303</v>
      </c>
      <c r="C128" s="203"/>
      <c r="D128" s="203"/>
      <c r="E128" s="203"/>
      <c r="F128" s="203"/>
      <c r="G128" s="203"/>
      <c r="H128" s="203"/>
      <c r="I128" s="203"/>
      <c r="J128" s="739"/>
      <c r="K128" s="203"/>
      <c r="L128" s="203"/>
      <c r="M128" s="203"/>
      <c r="N128" s="203"/>
      <c r="O128" s="203"/>
      <c r="P128" s="203"/>
      <c r="Q128" s="203"/>
      <c r="R128" s="203"/>
    </row>
    <row r="129" spans="1:18">
      <c r="A129" s="17"/>
      <c r="B129" s="17"/>
      <c r="C129" s="740" t="s">
        <v>13</v>
      </c>
      <c r="D129" s="740" t="s">
        <v>119</v>
      </c>
      <c r="E129" s="740" t="s">
        <v>15</v>
      </c>
      <c r="F129" s="740" t="s">
        <v>132</v>
      </c>
      <c r="G129" s="740" t="s">
        <v>120</v>
      </c>
      <c r="H129" s="740" t="s">
        <v>18</v>
      </c>
      <c r="I129" s="740" t="s">
        <v>19</v>
      </c>
      <c r="J129" s="739" t="s">
        <v>115</v>
      </c>
      <c r="K129" s="203"/>
      <c r="L129" s="203"/>
      <c r="M129" s="203"/>
      <c r="N129" s="203"/>
      <c r="O129" s="203"/>
      <c r="P129" s="203"/>
      <c r="Q129" s="203"/>
      <c r="R129" s="203"/>
    </row>
    <row r="130" spans="1:18">
      <c r="A130" s="17"/>
      <c r="B130" s="19" t="s">
        <v>197</v>
      </c>
      <c r="C130" s="741">
        <f>SUM(D130:J130)</f>
        <v>3682569</v>
      </c>
      <c r="D130" s="742">
        <v>2676</v>
      </c>
      <c r="E130" s="742">
        <v>1758623.9878277581</v>
      </c>
      <c r="F130" s="742">
        <v>124559.01217224183</v>
      </c>
      <c r="G130" s="742">
        <v>0</v>
      </c>
      <c r="H130" s="742">
        <v>1796710</v>
      </c>
      <c r="I130" s="742">
        <v>0</v>
      </c>
      <c r="J130" s="742">
        <v>0</v>
      </c>
    </row>
    <row r="131" spans="1:18">
      <c r="A131" s="17"/>
      <c r="B131" s="42" t="s">
        <v>141</v>
      </c>
      <c r="C131" s="743">
        <f t="shared" ref="C131:I131" si="31">C130/$C$130</f>
        <v>1</v>
      </c>
      <c r="D131" s="743">
        <f t="shared" si="31"/>
        <v>7.2666662864972792E-4</v>
      </c>
      <c r="E131" s="743">
        <f t="shared" si="31"/>
        <v>0.47755357410214394</v>
      </c>
      <c r="F131" s="743">
        <f t="shared" si="31"/>
        <v>3.382394523286375E-2</v>
      </c>
      <c r="G131" s="743">
        <f t="shared" si="31"/>
        <v>0</v>
      </c>
      <c r="H131" s="743">
        <f t="shared" si="31"/>
        <v>0.48789581403634258</v>
      </c>
      <c r="I131" s="743">
        <f t="shared" si="31"/>
        <v>0</v>
      </c>
      <c r="J131" s="743">
        <f>J130/$C$130</f>
        <v>0</v>
      </c>
    </row>
    <row r="132" spans="1:18">
      <c r="B132" s="19" t="s">
        <v>200</v>
      </c>
      <c r="C132" s="741">
        <f>SUM(D132:J132)</f>
        <v>1353462</v>
      </c>
      <c r="D132" s="742">
        <v>0</v>
      </c>
      <c r="E132" s="742">
        <v>665934</v>
      </c>
      <c r="F132" s="742">
        <v>0</v>
      </c>
      <c r="G132" s="742">
        <v>0</v>
      </c>
      <c r="H132" s="742">
        <v>0</v>
      </c>
      <c r="I132" s="742">
        <v>687528</v>
      </c>
      <c r="J132" s="742">
        <v>0</v>
      </c>
    </row>
    <row r="133" spans="1:18">
      <c r="A133" s="17"/>
      <c r="B133" s="42" t="s">
        <v>141</v>
      </c>
      <c r="C133" s="743">
        <f t="shared" ref="C133:J133" si="32">C132/$C$132</f>
        <v>1</v>
      </c>
      <c r="D133" s="743">
        <f t="shared" si="32"/>
        <v>0</v>
      </c>
      <c r="E133" s="743">
        <f t="shared" si="32"/>
        <v>0.49202267961715956</v>
      </c>
      <c r="F133" s="743">
        <f t="shared" si="32"/>
        <v>0</v>
      </c>
      <c r="G133" s="743">
        <f t="shared" si="32"/>
        <v>0</v>
      </c>
      <c r="H133" s="743">
        <f t="shared" si="32"/>
        <v>0</v>
      </c>
      <c r="I133" s="743">
        <f t="shared" si="32"/>
        <v>0.50797732038284049</v>
      </c>
      <c r="J133" s="743">
        <f t="shared" si="32"/>
        <v>0</v>
      </c>
    </row>
    <row r="134" spans="1:18">
      <c r="A134" s="17"/>
      <c r="B134" s="48"/>
      <c r="C134" s="203"/>
      <c r="D134" s="203"/>
      <c r="E134" s="203"/>
      <c r="F134" s="203"/>
      <c r="G134" s="203"/>
      <c r="H134" s="203"/>
      <c r="I134" s="203"/>
      <c r="J134" s="739"/>
    </row>
    <row r="135" spans="1:18">
      <c r="A135" s="16"/>
      <c r="C135" s="203"/>
      <c r="D135" s="203"/>
      <c r="E135" s="203"/>
      <c r="F135" s="744"/>
      <c r="G135" s="203"/>
      <c r="H135" s="203"/>
      <c r="I135" s="203"/>
      <c r="J135" s="203"/>
    </row>
    <row r="136" spans="1:18">
      <c r="A136" s="21" t="s">
        <v>281</v>
      </c>
      <c r="B136" s="16" t="s">
        <v>282</v>
      </c>
      <c r="C136" s="203"/>
      <c r="D136" s="203"/>
      <c r="E136" s="203"/>
      <c r="F136" s="203"/>
      <c r="G136" s="203"/>
      <c r="H136" s="203"/>
      <c r="I136" s="203"/>
      <c r="J136" s="203"/>
    </row>
    <row r="137" spans="1:18">
      <c r="B137" s="19" t="s">
        <v>403</v>
      </c>
      <c r="C137" s="741">
        <f>SUM(D137:J137)</f>
        <v>107903288.20556676</v>
      </c>
      <c r="D137" s="742">
        <v>0</v>
      </c>
      <c r="E137" s="742">
        <v>104477918.81868021</v>
      </c>
      <c r="F137" s="742">
        <v>0</v>
      </c>
      <c r="G137" s="742">
        <v>0</v>
      </c>
      <c r="H137" s="742">
        <v>3425369.3868865459</v>
      </c>
      <c r="I137" s="742">
        <v>0</v>
      </c>
      <c r="J137" s="742">
        <v>0</v>
      </c>
    </row>
    <row r="138" spans="1:18">
      <c r="A138" s="17"/>
      <c r="B138" s="42" t="s">
        <v>141</v>
      </c>
      <c r="C138" s="743">
        <f>SUM(D138:J138)</f>
        <v>0.99999999999999989</v>
      </c>
      <c r="D138" s="743">
        <v>0</v>
      </c>
      <c r="E138" s="743">
        <f>E137/SUM(D137:J137)</f>
        <v>0.96825518995898552</v>
      </c>
      <c r="F138" s="743">
        <v>0</v>
      </c>
      <c r="G138" s="743">
        <v>0</v>
      </c>
      <c r="H138" s="743">
        <f>H137/SUM(D137:J137)</f>
        <v>3.1744810041014392E-2</v>
      </c>
      <c r="I138" s="743">
        <v>0</v>
      </c>
      <c r="J138" s="743">
        <v>0</v>
      </c>
    </row>
    <row r="139" spans="1:18">
      <c r="A139" s="17"/>
      <c r="B139" s="48"/>
      <c r="C139" s="203"/>
      <c r="D139" s="203"/>
      <c r="E139" s="203"/>
      <c r="F139" s="203"/>
      <c r="G139" s="203"/>
      <c r="H139" s="203"/>
      <c r="I139" s="203"/>
      <c r="J139" s="203"/>
    </row>
    <row r="140" spans="1:18">
      <c r="B140" s="48"/>
      <c r="C140" s="744"/>
      <c r="D140" s="744"/>
      <c r="E140" s="744"/>
      <c r="F140" s="744"/>
      <c r="G140" s="203"/>
      <c r="H140" s="203"/>
      <c r="I140" s="203"/>
      <c r="J140" s="203"/>
    </row>
    <row r="141" spans="1:18">
      <c r="B141" s="48"/>
    </row>
    <row r="142" spans="1:18">
      <c r="B142" s="17"/>
    </row>
  </sheetData>
  <mergeCells count="9">
    <mergeCell ref="B114:I114"/>
    <mergeCell ref="E84:F84"/>
    <mergeCell ref="G84:H84"/>
    <mergeCell ref="A1:K1"/>
    <mergeCell ref="A2:K2"/>
    <mergeCell ref="G31:H31"/>
    <mergeCell ref="I31:J31"/>
    <mergeCell ref="E56:F56"/>
    <mergeCell ref="G56:H56"/>
  </mergeCells>
  <phoneticPr fontId="22" type="noConversion"/>
  <printOptions horizontalCentered="1"/>
  <pageMargins left="0.5" right="0.5" top="1" bottom="1" header="0.5" footer="0.5"/>
  <pageSetup scale="75" fitToHeight="4" orientation="landscape" blackAndWhite="1" horizontalDpi="4294967292" verticalDpi="300" r:id="rId1"/>
  <headerFooter alignWithMargins="0"/>
  <rowBreaks count="3" manualBreakCount="3">
    <brk id="29" max="10" man="1"/>
    <brk id="54" max="10" man="1"/>
    <brk id="82" max="10" man="1"/>
  </rowBreaks>
  <ignoredErrors>
    <ignoredError sqref="F6:F27" formulaRange="1"/>
    <ignoredError sqref="C5:E5 C86:I86 C58:I58" numberStoredAsText="1"/>
    <ignoredError sqref="F33:F54 C1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L92"/>
  <sheetViews>
    <sheetView zoomScale="80" zoomScaleNormal="80" workbookViewId="0">
      <selection sqref="A1:I1"/>
    </sheetView>
  </sheetViews>
  <sheetFormatPr defaultColWidth="8" defaultRowHeight="13.2"/>
  <cols>
    <col min="1" max="1" width="5.6640625" style="72" customWidth="1"/>
    <col min="2" max="2" width="42.5546875" style="65" customWidth="1"/>
    <col min="3" max="3" width="12.6640625" style="72" customWidth="1"/>
    <col min="4" max="4" width="13.6640625" style="72" bestFit="1" customWidth="1"/>
    <col min="5" max="9" width="12.6640625" style="72" customWidth="1"/>
    <col min="10" max="10" width="13.33203125" style="72" customWidth="1"/>
    <col min="11" max="11" width="11.6640625" style="57" customWidth="1"/>
    <col min="12" max="16384" width="8" style="57"/>
  </cols>
  <sheetData>
    <row r="1" spans="1:11" s="43" customFormat="1" ht="20.25" customHeight="1">
      <c r="A1" s="908" t="s">
        <v>213</v>
      </c>
      <c r="B1" s="908"/>
      <c r="C1" s="908"/>
      <c r="D1" s="908"/>
      <c r="E1" s="908"/>
      <c r="F1" s="908"/>
      <c r="G1" s="908"/>
      <c r="H1" s="908"/>
      <c r="I1" s="908"/>
      <c r="J1" s="44"/>
    </row>
    <row r="2" spans="1:11" s="43" customFormat="1" ht="20.25" customHeight="1">
      <c r="A2" s="908" t="s">
        <v>214</v>
      </c>
      <c r="B2" s="908"/>
      <c r="C2" s="908"/>
      <c r="D2" s="908"/>
      <c r="E2" s="908"/>
      <c r="F2" s="908"/>
      <c r="G2" s="908"/>
      <c r="H2" s="908"/>
      <c r="I2" s="908"/>
      <c r="J2" s="44"/>
    </row>
    <row r="3" spans="1:11" s="43" customFormat="1" ht="20.25" customHeight="1">
      <c r="A3" s="913" t="s">
        <v>215</v>
      </c>
      <c r="B3" s="913"/>
      <c r="C3" s="913"/>
      <c r="D3" s="913"/>
      <c r="E3" s="913"/>
      <c r="F3" s="913"/>
      <c r="G3" s="913"/>
      <c r="H3" s="913"/>
      <c r="I3" s="913"/>
      <c r="J3" s="44"/>
    </row>
    <row r="4" spans="1:11">
      <c r="A4" s="671"/>
      <c r="B4" s="633" t="s">
        <v>0</v>
      </c>
      <c r="C4" s="634" t="s">
        <v>1</v>
      </c>
      <c r="D4" s="634" t="s">
        <v>2</v>
      </c>
      <c r="E4" s="634" t="s">
        <v>3</v>
      </c>
      <c r="F4" s="634" t="s">
        <v>4</v>
      </c>
      <c r="G4" s="634" t="s">
        <v>5</v>
      </c>
      <c r="H4" s="634" t="s">
        <v>6</v>
      </c>
      <c r="I4" s="634" t="s">
        <v>7</v>
      </c>
      <c r="J4" s="44"/>
    </row>
    <row r="5" spans="1:11">
      <c r="A5" s="671"/>
      <c r="B5" s="672"/>
      <c r="C5" s="671"/>
      <c r="D5" s="647"/>
      <c r="E5" s="647"/>
      <c r="F5" s="647"/>
      <c r="G5" s="647"/>
      <c r="H5" s="647"/>
      <c r="I5" s="673"/>
      <c r="J5" s="44"/>
    </row>
    <row r="6" spans="1:11">
      <c r="A6" s="671"/>
      <c r="B6" s="674"/>
      <c r="C6" s="675" t="s">
        <v>8</v>
      </c>
      <c r="D6" s="675"/>
      <c r="E6" s="914" t="s">
        <v>11</v>
      </c>
      <c r="F6" s="914"/>
      <c r="G6" s="914" t="s">
        <v>10</v>
      </c>
      <c r="H6" s="914"/>
      <c r="I6" s="675" t="s">
        <v>12</v>
      </c>
      <c r="J6" s="44"/>
    </row>
    <row r="7" spans="1:11">
      <c r="A7" s="671"/>
      <c r="B7" s="674"/>
      <c r="C7" s="676" t="s">
        <v>14</v>
      </c>
      <c r="D7" s="676" t="s">
        <v>15</v>
      </c>
      <c r="E7" s="676" t="s">
        <v>18</v>
      </c>
      <c r="F7" s="676" t="s">
        <v>19</v>
      </c>
      <c r="G7" s="676" t="s">
        <v>16</v>
      </c>
      <c r="H7" s="676" t="s">
        <v>17</v>
      </c>
      <c r="I7" s="676" t="s">
        <v>20</v>
      </c>
      <c r="J7" s="44"/>
    </row>
    <row r="8" spans="1:11" ht="20.25" customHeight="1">
      <c r="A8" s="677">
        <f>MAX($A$4:A7)+1</f>
        <v>1</v>
      </c>
      <c r="B8" s="678" t="str">
        <f>+CONCATENATE("FY"&amp;" "&amp;Input!$A$4)</f>
        <v>FY 2022</v>
      </c>
      <c r="C8" s="675"/>
      <c r="D8" s="675"/>
      <c r="E8" s="675"/>
      <c r="F8" s="675"/>
      <c r="G8" s="675"/>
      <c r="H8" s="675"/>
      <c r="I8" s="673"/>
      <c r="J8" s="44"/>
    </row>
    <row r="9" spans="1:11">
      <c r="A9" s="679">
        <f>MAX($A$4:A8)+1</f>
        <v>2</v>
      </c>
      <c r="B9" s="680" t="s">
        <v>31</v>
      </c>
      <c r="C9" s="681">
        <f>'T-1'!D15</f>
        <v>15030.790861088846</v>
      </c>
      <c r="D9" s="681">
        <f>'T-1'!E15</f>
        <v>752610.3417857989</v>
      </c>
      <c r="E9" s="681">
        <f>'T-1'!F15</f>
        <v>94229.786168730963</v>
      </c>
      <c r="F9" s="681">
        <f>'T-1'!G15</f>
        <v>12028.917241954237</v>
      </c>
      <c r="G9" s="681">
        <f>'T-1'!H15</f>
        <v>3705.1847861252827</v>
      </c>
      <c r="H9" s="681">
        <f>'T-1'!I15</f>
        <v>1263.23613191763</v>
      </c>
      <c r="I9" s="681">
        <f>'T-1'!J15</f>
        <v>264300.50308804493</v>
      </c>
      <c r="J9" s="44"/>
    </row>
    <row r="10" spans="1:11">
      <c r="A10" s="679">
        <f>MAX($A$4:A9)+1</f>
        <v>3</v>
      </c>
      <c r="B10" s="680" t="s">
        <v>32</v>
      </c>
      <c r="C10" s="681">
        <f>-'T-2'!C81</f>
        <v>-298.87177988257747</v>
      </c>
      <c r="D10" s="681">
        <f>-'T-2'!D81</f>
        <v>-19156.093393297484</v>
      </c>
      <c r="E10" s="681">
        <f>-'T-2'!G81</f>
        <v>-9596.0087740973249</v>
      </c>
      <c r="F10" s="681">
        <f>-'T-2'!H81</f>
        <v>-912.62950769900897</v>
      </c>
      <c r="G10" s="681">
        <f>-'T-2'!E81</f>
        <v>-164.57721290186291</v>
      </c>
      <c r="H10" s="681">
        <f>-'T-2'!F81</f>
        <v>-426.09088170746003</v>
      </c>
      <c r="I10" s="681">
        <f>-'T-2'!I81</f>
        <v>-3230.7500504142854</v>
      </c>
      <c r="J10" s="44"/>
      <c r="K10" s="58"/>
    </row>
    <row r="11" spans="1:11">
      <c r="A11" s="679">
        <f>MAX($A$4:A10)+1</f>
        <v>4</v>
      </c>
      <c r="B11" s="680" t="s">
        <v>651</v>
      </c>
      <c r="C11" s="681">
        <v>0</v>
      </c>
      <c r="D11" s="681">
        <v>0</v>
      </c>
      <c r="E11" s="681">
        <v>0</v>
      </c>
      <c r="F11" s="681">
        <v>0</v>
      </c>
      <c r="G11" s="681">
        <v>0</v>
      </c>
      <c r="H11" s="681">
        <v>0</v>
      </c>
      <c r="I11" s="681">
        <v>-2228.5550099999996</v>
      </c>
      <c r="J11" s="44"/>
    </row>
    <row r="12" spans="1:11">
      <c r="A12" s="679">
        <f>MAX($A$4:A11)+1</f>
        <v>5</v>
      </c>
      <c r="B12" s="680" t="s">
        <v>652</v>
      </c>
      <c r="C12" s="681">
        <v>0</v>
      </c>
      <c r="D12" s="681">
        <v>0</v>
      </c>
      <c r="E12" s="681">
        <v>0</v>
      </c>
      <c r="F12" s="681">
        <v>0</v>
      </c>
      <c r="G12" s="681">
        <v>0</v>
      </c>
      <c r="H12" s="681">
        <v>0</v>
      </c>
      <c r="I12" s="681">
        <v>-2228.5550099999996</v>
      </c>
      <c r="J12" s="44"/>
    </row>
    <row r="13" spans="1:11">
      <c r="A13" s="679">
        <f>MAX($A$4:A12)+1</f>
        <v>6</v>
      </c>
      <c r="B13" s="680" t="s">
        <v>153</v>
      </c>
      <c r="C13" s="681">
        <v>0</v>
      </c>
      <c r="D13" s="681">
        <v>0</v>
      </c>
      <c r="E13" s="681">
        <v>0</v>
      </c>
      <c r="F13" s="681">
        <f>-'T-8'!E49</f>
        <v>-268.23901563433083</v>
      </c>
      <c r="G13" s="681">
        <v>0</v>
      </c>
      <c r="H13" s="681">
        <v>0</v>
      </c>
      <c r="I13" s="681">
        <v>0</v>
      </c>
      <c r="J13" s="44"/>
    </row>
    <row r="14" spans="1:11">
      <c r="A14" s="679">
        <f>MAX($A$4:A13)+1</f>
        <v>7</v>
      </c>
      <c r="B14" s="680" t="s">
        <v>404</v>
      </c>
      <c r="C14" s="681">
        <v>0</v>
      </c>
      <c r="D14" s="681">
        <v>0</v>
      </c>
      <c r="E14" s="681">
        <v>0</v>
      </c>
      <c r="F14" s="681">
        <f>-'T-12'!F89</f>
        <v>-12227.64</v>
      </c>
      <c r="G14" s="681">
        <v>0</v>
      </c>
      <c r="H14" s="681">
        <v>0</v>
      </c>
      <c r="I14" s="681">
        <v>0</v>
      </c>
      <c r="J14" s="44"/>
    </row>
    <row r="15" spans="1:11">
      <c r="A15" s="679">
        <f>MAX($A$4:A14)+1</f>
        <v>8</v>
      </c>
      <c r="B15" s="680" t="s">
        <v>345</v>
      </c>
      <c r="C15" s="681">
        <v>0</v>
      </c>
      <c r="D15" s="681">
        <v>0</v>
      </c>
      <c r="E15" s="681">
        <v>0</v>
      </c>
      <c r="F15" s="681">
        <v>0</v>
      </c>
      <c r="G15" s="681">
        <v>0</v>
      </c>
      <c r="H15" s="681">
        <v>0</v>
      </c>
      <c r="I15" s="681">
        <v>0</v>
      </c>
      <c r="J15" s="44"/>
    </row>
    <row r="16" spans="1:11">
      <c r="A16" s="679">
        <f>MAX($A$4:A15)+1</f>
        <v>9</v>
      </c>
      <c r="B16" s="680" t="s">
        <v>346</v>
      </c>
      <c r="C16" s="681">
        <v>0</v>
      </c>
      <c r="D16" s="681">
        <v>0</v>
      </c>
      <c r="E16" s="681">
        <v>0</v>
      </c>
      <c r="F16" s="681">
        <v>0</v>
      </c>
      <c r="G16" s="681">
        <v>0</v>
      </c>
      <c r="H16" s="681">
        <v>0</v>
      </c>
      <c r="I16" s="681">
        <v>0</v>
      </c>
      <c r="J16" s="44"/>
    </row>
    <row r="17" spans="1:12">
      <c r="A17" s="679">
        <f>MAX($A$4:A16)+1</f>
        <v>10</v>
      </c>
      <c r="B17" s="680" t="s">
        <v>328</v>
      </c>
      <c r="C17" s="681">
        <f>-$F17*C54</f>
        <v>-22.644718547818304</v>
      </c>
      <c r="D17" s="681">
        <f>-$F17*D54</f>
        <v>-1150.2713914451463</v>
      </c>
      <c r="E17" s="681">
        <f>-$F17*E54</f>
        <v>-158.11655627382393</v>
      </c>
      <c r="F17" s="681">
        <f>-(F9+F10+F13+F14)</f>
        <v>1379.5912813791001</v>
      </c>
      <c r="G17" s="681">
        <f>-$F17*G54</f>
        <v>-3.1446081052064496</v>
      </c>
      <c r="H17" s="681">
        <f>-$F17*H54</f>
        <v>-1.3553169792935498</v>
      </c>
      <c r="I17" s="681">
        <f>-$F17*I54</f>
        <v>-44.058690027811664</v>
      </c>
      <c r="J17" s="44"/>
    </row>
    <row r="18" spans="1:12">
      <c r="A18" s="679">
        <f>MAX($A$4:A17)+1</f>
        <v>11</v>
      </c>
      <c r="B18" s="682" t="s">
        <v>329</v>
      </c>
      <c r="C18" s="681">
        <f>-$H18*C60</f>
        <v>13.732211531248955</v>
      </c>
      <c r="D18" s="681">
        <f>-$H18*D60</f>
        <v>697.54764371715521</v>
      </c>
      <c r="E18" s="681">
        <f>-$H18*E60</f>
        <v>95.885051199012196</v>
      </c>
      <c r="F18" s="681">
        <f>-$H18*F60</f>
        <v>0</v>
      </c>
      <c r="G18" s="681">
        <f>-$H18*G60</f>
        <v>1.9069534290032202</v>
      </c>
      <c r="H18" s="681">
        <f>-SUM(H9:H17)</f>
        <v>-835.78993323087639</v>
      </c>
      <c r="I18" s="681">
        <f>-$H18*I60</f>
        <v>26.718073354456834</v>
      </c>
      <c r="J18" s="44"/>
      <c r="K18" s="58"/>
      <c r="L18" s="59"/>
    </row>
    <row r="19" spans="1:12">
      <c r="A19" s="679">
        <f>MAX($A$4:A18)+1</f>
        <v>12</v>
      </c>
      <c r="B19" s="680" t="s">
        <v>562</v>
      </c>
      <c r="C19" s="681">
        <v>0</v>
      </c>
      <c r="D19" s="681">
        <v>521.76710908232599</v>
      </c>
      <c r="E19" s="681">
        <v>0</v>
      </c>
      <c r="F19" s="681">
        <v>0</v>
      </c>
      <c r="G19" s="681">
        <v>-521.76710908232599</v>
      </c>
      <c r="H19" s="681">
        <v>0</v>
      </c>
      <c r="I19" s="681">
        <v>0</v>
      </c>
      <c r="J19" s="44"/>
      <c r="K19" s="58"/>
      <c r="L19" s="59"/>
    </row>
    <row r="20" spans="1:12" s="60" customFormat="1">
      <c r="A20" s="679">
        <f>MAX($A$4:A19)+1</f>
        <v>13</v>
      </c>
      <c r="B20" s="683" t="s">
        <v>13</v>
      </c>
      <c r="C20" s="684">
        <f>SUM(C9:C19)</f>
        <v>14723.006574189698</v>
      </c>
      <c r="D20" s="684">
        <f t="shared" ref="D20:I20" si="0">SUM(D9:D19)</f>
        <v>733523.29175385565</v>
      </c>
      <c r="E20" s="684">
        <f t="shared" si="0"/>
        <v>84571.545889558838</v>
      </c>
      <c r="F20" s="684">
        <f t="shared" si="0"/>
        <v>0</v>
      </c>
      <c r="G20" s="684">
        <f t="shared" si="0"/>
        <v>3017.6028094648909</v>
      </c>
      <c r="H20" s="684">
        <f t="shared" si="0"/>
        <v>0</v>
      </c>
      <c r="I20" s="684">
        <f t="shared" si="0"/>
        <v>256595.30240095727</v>
      </c>
      <c r="J20" s="44"/>
      <c r="L20" s="59"/>
    </row>
    <row r="21" spans="1:12" ht="24" customHeight="1">
      <c r="A21" s="677">
        <f>MAX($A$4:A20)+1</f>
        <v>14</v>
      </c>
      <c r="B21" s="685" t="str">
        <f>+CONCATENATE("FY"&amp;" "&amp;Input!$A$4+1)</f>
        <v>FY 2023</v>
      </c>
      <c r="C21" s="671"/>
      <c r="D21" s="686"/>
      <c r="E21" s="686"/>
      <c r="F21" s="686"/>
      <c r="G21" s="686"/>
      <c r="H21" s="686"/>
      <c r="I21" s="686"/>
      <c r="J21" s="44"/>
      <c r="L21" s="59"/>
    </row>
    <row r="22" spans="1:12">
      <c r="A22" s="679">
        <f>MAX($A$4:A21)+1</f>
        <v>15</v>
      </c>
      <c r="B22" s="680" t="s">
        <v>31</v>
      </c>
      <c r="C22" s="681">
        <f>'T-1'!D24</f>
        <v>15075.38919616909</v>
      </c>
      <c r="D22" s="681">
        <f>'T-1'!E24</f>
        <v>766551.67244153761</v>
      </c>
      <c r="E22" s="681">
        <f>'T-1'!F24</f>
        <v>94679.318599125021</v>
      </c>
      <c r="F22" s="681">
        <f>'T-1'!G24</f>
        <v>12053.045785576071</v>
      </c>
      <c r="G22" s="681">
        <f>'T-1'!H24</f>
        <v>3724.7301524531522</v>
      </c>
      <c r="H22" s="681">
        <f>'T-1'!I24</f>
        <v>1269.8583569274983</v>
      </c>
      <c r="I22" s="681">
        <f>'T-1'!J24</f>
        <v>266078.25976827426</v>
      </c>
      <c r="J22" s="44"/>
      <c r="L22" s="61"/>
    </row>
    <row r="23" spans="1:12">
      <c r="A23" s="679">
        <f>MAX($A$4:A22)+1</f>
        <v>16</v>
      </c>
      <c r="B23" s="680" t="s">
        <v>32</v>
      </c>
      <c r="C23" s="681">
        <f>-'T-2'!C109</f>
        <v>-258.72216829757389</v>
      </c>
      <c r="D23" s="681">
        <f>-'T-2'!D109</f>
        <v>-17013.624022514443</v>
      </c>
      <c r="E23" s="681">
        <f>-'T-2'!G109</f>
        <v>-9307.4881881510191</v>
      </c>
      <c r="F23" s="681">
        <f>-'T-2'!H109</f>
        <v>-880.34781446611839</v>
      </c>
      <c r="G23" s="681">
        <f>-'T-2'!E109</f>
        <v>-158.53545766866432</v>
      </c>
      <c r="H23" s="681">
        <f>-'T-2'!F109</f>
        <v>-423.68498830297295</v>
      </c>
      <c r="I23" s="681">
        <f>-'T-2'!I109</f>
        <v>-2792.9639605992143</v>
      </c>
      <c r="J23" s="44"/>
      <c r="K23" s="58"/>
      <c r="L23" s="61"/>
    </row>
    <row r="24" spans="1:12">
      <c r="A24" s="679">
        <f>MAX($A$4:A23)+1</f>
        <v>17</v>
      </c>
      <c r="B24" s="680" t="s">
        <v>651</v>
      </c>
      <c r="C24" s="681">
        <v>0</v>
      </c>
      <c r="D24" s="681">
        <v>0</v>
      </c>
      <c r="E24" s="681">
        <v>0</v>
      </c>
      <c r="F24" s="681">
        <v>0</v>
      </c>
      <c r="G24" s="681">
        <v>0</v>
      </c>
      <c r="H24" s="681">
        <v>0</v>
      </c>
      <c r="I24" s="681">
        <v>-2228.5550099999996</v>
      </c>
      <c r="J24" s="44"/>
      <c r="L24" s="61"/>
    </row>
    <row r="25" spans="1:12">
      <c r="A25" s="679">
        <f>MAX($A$4:A24)+1</f>
        <v>18</v>
      </c>
      <c r="B25" s="680" t="s">
        <v>652</v>
      </c>
      <c r="C25" s="681">
        <v>0</v>
      </c>
      <c r="D25" s="681">
        <v>0</v>
      </c>
      <c r="E25" s="681">
        <v>0</v>
      </c>
      <c r="F25" s="681">
        <v>0</v>
      </c>
      <c r="G25" s="681">
        <v>0</v>
      </c>
      <c r="H25" s="681">
        <v>0</v>
      </c>
      <c r="I25" s="681">
        <v>-2228.5550099999996</v>
      </c>
      <c r="J25" s="44"/>
      <c r="L25" s="61"/>
    </row>
    <row r="26" spans="1:12">
      <c r="A26" s="679">
        <f>MAX($A$4:A25)+1</f>
        <v>19</v>
      </c>
      <c r="B26" s="680" t="s">
        <v>153</v>
      </c>
      <c r="C26" s="681">
        <v>0</v>
      </c>
      <c r="D26" s="681">
        <v>0</v>
      </c>
      <c r="E26" s="681">
        <v>0</v>
      </c>
      <c r="F26" s="681">
        <f>-'T-8'!E49</f>
        <v>-268.23901563433083</v>
      </c>
      <c r="G26" s="681">
        <v>0</v>
      </c>
      <c r="H26" s="681">
        <v>0</v>
      </c>
      <c r="I26" s="681">
        <v>0</v>
      </c>
      <c r="J26" s="44"/>
      <c r="L26" s="61"/>
    </row>
    <row r="27" spans="1:12">
      <c r="A27" s="679">
        <f>MAX($A$4:A26)+1</f>
        <v>20</v>
      </c>
      <c r="B27" s="680" t="s">
        <v>404</v>
      </c>
      <c r="C27" s="681">
        <v>0</v>
      </c>
      <c r="D27" s="681">
        <v>0</v>
      </c>
      <c r="E27" s="681">
        <v>0</v>
      </c>
      <c r="F27" s="681">
        <f>-'T-12'!G89</f>
        <v>-12227.64</v>
      </c>
      <c r="G27" s="681">
        <v>0</v>
      </c>
      <c r="H27" s="681">
        <v>0</v>
      </c>
      <c r="I27" s="681">
        <v>0</v>
      </c>
      <c r="J27" s="44"/>
    </row>
    <row r="28" spans="1:12">
      <c r="A28" s="679">
        <f>MAX($A$4:A27)+1</f>
        <v>21</v>
      </c>
      <c r="B28" s="680" t="s">
        <v>327</v>
      </c>
      <c r="C28" s="681">
        <v>0</v>
      </c>
      <c r="D28" s="681">
        <v>0</v>
      </c>
      <c r="E28" s="681">
        <v>0</v>
      </c>
      <c r="F28" s="681">
        <v>0</v>
      </c>
      <c r="G28" s="681">
        <v>0</v>
      </c>
      <c r="H28" s="681">
        <v>0</v>
      </c>
      <c r="I28" s="681">
        <v>0</v>
      </c>
      <c r="J28" s="44"/>
      <c r="L28" s="61"/>
    </row>
    <row r="29" spans="1:12">
      <c r="A29" s="679">
        <f>MAX($A$4:A28)+1</f>
        <v>22</v>
      </c>
      <c r="B29" s="680" t="s">
        <v>346</v>
      </c>
      <c r="C29" s="681">
        <v>0</v>
      </c>
      <c r="D29" s="681">
        <v>0</v>
      </c>
      <c r="E29" s="681">
        <v>0</v>
      </c>
      <c r="F29" s="681">
        <v>0</v>
      </c>
      <c r="G29" s="681">
        <v>0</v>
      </c>
      <c r="H29" s="681">
        <v>0</v>
      </c>
      <c r="I29" s="681">
        <v>0</v>
      </c>
      <c r="J29" s="44"/>
      <c r="L29" s="61"/>
    </row>
    <row r="30" spans="1:12">
      <c r="A30" s="679">
        <f>MAX($A$4:A29)+1</f>
        <v>23</v>
      </c>
      <c r="B30" s="680" t="s">
        <v>328</v>
      </c>
      <c r="C30" s="681">
        <f>-$F30*C56</f>
        <v>-20.557222482039673</v>
      </c>
      <c r="D30" s="681">
        <f>-$F30*D56</f>
        <v>-1097.5250458158748</v>
      </c>
      <c r="E30" s="681">
        <f>-$F30*E56</f>
        <v>-145.21797057751678</v>
      </c>
      <c r="F30" s="681">
        <f>-(F22+F23+F26+F27)</f>
        <v>1323.1810445243791</v>
      </c>
      <c r="G30" s="681">
        <f>-$F30*G56</f>
        <v>-2.8624405485864539</v>
      </c>
      <c r="H30" s="681">
        <f>-$F30*H56</f>
        <v>-1.2340086909400376</v>
      </c>
      <c r="I30" s="681">
        <f>-$F30*I56</f>
        <v>-55.784356409421441</v>
      </c>
      <c r="J30" s="44"/>
      <c r="L30" s="61"/>
    </row>
    <row r="31" spans="1:12">
      <c r="A31" s="679">
        <f>MAX($A$4:A30)+1</f>
        <v>24</v>
      </c>
      <c r="B31" s="682" t="s">
        <v>329</v>
      </c>
      <c r="C31" s="681">
        <f>-$H31*C62</f>
        <v>13.139411742798009</v>
      </c>
      <c r="D31" s="681">
        <f>-$H31*D62</f>
        <v>701.49717393033745</v>
      </c>
      <c r="E31" s="681">
        <f>-$H31*E62</f>
        <v>92.817923702414561</v>
      </c>
      <c r="F31" s="681">
        <f>-$H31*F62</f>
        <v>0</v>
      </c>
      <c r="G31" s="681">
        <f>-$H31*G62</f>
        <v>1.8295654965070121</v>
      </c>
      <c r="H31" s="681">
        <f>-SUM(H22:H30)</f>
        <v>-844.93935993358537</v>
      </c>
      <c r="I31" s="681">
        <f>-$H31*I62</f>
        <v>35.655285061528232</v>
      </c>
      <c r="J31" s="44"/>
      <c r="K31" s="58"/>
      <c r="L31" s="59"/>
    </row>
    <row r="32" spans="1:12">
      <c r="A32" s="679">
        <f>MAX($A$4:A31)+1</f>
        <v>25</v>
      </c>
      <c r="B32" s="680" t="s">
        <v>562</v>
      </c>
      <c r="C32" s="681">
        <v>0</v>
      </c>
      <c r="D32" s="681">
        <v>521.76710908232599</v>
      </c>
      <c r="E32" s="681">
        <v>0</v>
      </c>
      <c r="F32" s="681">
        <v>0</v>
      </c>
      <c r="G32" s="681">
        <v>-521.76710908232599</v>
      </c>
      <c r="H32" s="681">
        <v>0</v>
      </c>
      <c r="I32" s="681">
        <v>0</v>
      </c>
      <c r="J32" s="44"/>
      <c r="K32" s="58"/>
      <c r="L32" s="59"/>
    </row>
    <row r="33" spans="1:12" s="60" customFormat="1">
      <c r="A33" s="679">
        <f>MAX($A$4:A32)+1</f>
        <v>26</v>
      </c>
      <c r="B33" s="683" t="s">
        <v>13</v>
      </c>
      <c r="C33" s="684">
        <f>SUM(C22:C32)</f>
        <v>14809.249217132274</v>
      </c>
      <c r="D33" s="684">
        <f t="shared" ref="D33:I33" si="1">SUM(D22:D32)</f>
        <v>749663.78765621991</v>
      </c>
      <c r="E33" s="684">
        <f t="shared" si="1"/>
        <v>85319.430364098895</v>
      </c>
      <c r="F33" s="684">
        <f t="shared" si="1"/>
        <v>0</v>
      </c>
      <c r="G33" s="684">
        <f t="shared" si="1"/>
        <v>3043.3947106500823</v>
      </c>
      <c r="H33" s="684">
        <f t="shared" si="1"/>
        <v>0</v>
      </c>
      <c r="I33" s="684">
        <f t="shared" si="1"/>
        <v>258808.05671632715</v>
      </c>
      <c r="J33" s="44"/>
      <c r="L33" s="59"/>
    </row>
    <row r="34" spans="1:12" ht="23.25" customHeight="1">
      <c r="A34" s="677">
        <f>MAX($A$4:A33)+1</f>
        <v>27</v>
      </c>
      <c r="B34" s="674" t="s">
        <v>422</v>
      </c>
      <c r="C34" s="671"/>
      <c r="D34" s="686"/>
      <c r="E34" s="686"/>
      <c r="F34" s="686"/>
      <c r="G34" s="686"/>
      <c r="H34" s="686"/>
      <c r="I34" s="686"/>
      <c r="J34" s="44"/>
      <c r="L34" s="59"/>
    </row>
    <row r="35" spans="1:12">
      <c r="A35" s="679">
        <f>MAX($A$4:A34)+1</f>
        <v>28</v>
      </c>
      <c r="B35" s="680" t="s">
        <v>31</v>
      </c>
      <c r="C35" s="687">
        <f t="shared" ref="C35:I44" si="2">AVERAGE(C9,C22)</f>
        <v>15053.090028628969</v>
      </c>
      <c r="D35" s="687">
        <f t="shared" si="2"/>
        <v>759581.00711366825</v>
      </c>
      <c r="E35" s="687">
        <f t="shared" si="2"/>
        <v>94454.552383927992</v>
      </c>
      <c r="F35" s="687">
        <f t="shared" si="2"/>
        <v>12040.981513765153</v>
      </c>
      <c r="G35" s="687">
        <f t="shared" si="2"/>
        <v>3714.9574692892174</v>
      </c>
      <c r="H35" s="687">
        <f t="shared" si="2"/>
        <v>1266.5472444225643</v>
      </c>
      <c r="I35" s="687">
        <f t="shared" si="2"/>
        <v>265189.3814281596</v>
      </c>
      <c r="J35" s="44"/>
      <c r="L35" s="61"/>
    </row>
    <row r="36" spans="1:12">
      <c r="A36" s="679">
        <f>MAX($A$4:A35)+1</f>
        <v>29</v>
      </c>
      <c r="B36" s="680" t="s">
        <v>32</v>
      </c>
      <c r="C36" s="687">
        <f t="shared" si="2"/>
        <v>-278.79697409007565</v>
      </c>
      <c r="D36" s="687">
        <f t="shared" si="2"/>
        <v>-18084.858707905965</v>
      </c>
      <c r="E36" s="687">
        <f t="shared" si="2"/>
        <v>-9451.748481124172</v>
      </c>
      <c r="F36" s="687">
        <f t="shared" si="2"/>
        <v>-896.48866108256368</v>
      </c>
      <c r="G36" s="687">
        <f t="shared" si="2"/>
        <v>-161.55633528526363</v>
      </c>
      <c r="H36" s="687">
        <f t="shared" si="2"/>
        <v>-424.88793500521649</v>
      </c>
      <c r="I36" s="687">
        <f t="shared" si="2"/>
        <v>-3011.8570055067498</v>
      </c>
      <c r="J36" s="44"/>
      <c r="L36" s="61"/>
    </row>
    <row r="37" spans="1:12">
      <c r="A37" s="679">
        <f>MAX($A$4:A36)+1</f>
        <v>30</v>
      </c>
      <c r="B37" s="680" t="s">
        <v>651</v>
      </c>
      <c r="C37" s="687">
        <f t="shared" si="2"/>
        <v>0</v>
      </c>
      <c r="D37" s="687">
        <f t="shared" si="2"/>
        <v>0</v>
      </c>
      <c r="E37" s="687">
        <f t="shared" si="2"/>
        <v>0</v>
      </c>
      <c r="F37" s="687">
        <f t="shared" si="2"/>
        <v>0</v>
      </c>
      <c r="G37" s="687">
        <f t="shared" si="2"/>
        <v>0</v>
      </c>
      <c r="H37" s="687">
        <f t="shared" si="2"/>
        <v>0</v>
      </c>
      <c r="I37" s="687">
        <f t="shared" si="2"/>
        <v>-2228.5550099999996</v>
      </c>
      <c r="J37" s="44"/>
      <c r="L37" s="61"/>
    </row>
    <row r="38" spans="1:12">
      <c r="A38" s="679">
        <f>MAX($A$4:A37)+1</f>
        <v>31</v>
      </c>
      <c r="B38" s="680" t="s">
        <v>652</v>
      </c>
      <c r="C38" s="687">
        <f t="shared" si="2"/>
        <v>0</v>
      </c>
      <c r="D38" s="687">
        <f t="shared" si="2"/>
        <v>0</v>
      </c>
      <c r="E38" s="687">
        <f t="shared" si="2"/>
        <v>0</v>
      </c>
      <c r="F38" s="687">
        <f t="shared" si="2"/>
        <v>0</v>
      </c>
      <c r="G38" s="687">
        <f t="shared" si="2"/>
        <v>0</v>
      </c>
      <c r="H38" s="687">
        <f t="shared" si="2"/>
        <v>0</v>
      </c>
      <c r="I38" s="687">
        <f t="shared" si="2"/>
        <v>-2228.5550099999996</v>
      </c>
      <c r="J38" s="44"/>
      <c r="L38" s="61"/>
    </row>
    <row r="39" spans="1:12">
      <c r="A39" s="679">
        <f>MAX($A$4:A38)+1</f>
        <v>32</v>
      </c>
      <c r="B39" s="680" t="s">
        <v>153</v>
      </c>
      <c r="C39" s="687">
        <f t="shared" si="2"/>
        <v>0</v>
      </c>
      <c r="D39" s="687">
        <f t="shared" si="2"/>
        <v>0</v>
      </c>
      <c r="E39" s="687">
        <f t="shared" si="2"/>
        <v>0</v>
      </c>
      <c r="F39" s="687">
        <f t="shared" si="2"/>
        <v>-268.23901563433083</v>
      </c>
      <c r="G39" s="687">
        <f t="shared" si="2"/>
        <v>0</v>
      </c>
      <c r="H39" s="687">
        <f t="shared" si="2"/>
        <v>0</v>
      </c>
      <c r="I39" s="687">
        <f t="shared" si="2"/>
        <v>0</v>
      </c>
      <c r="J39" s="44"/>
      <c r="L39" s="61"/>
    </row>
    <row r="40" spans="1:12">
      <c r="A40" s="679">
        <f>MAX($A$4:A39)+1</f>
        <v>33</v>
      </c>
      <c r="B40" s="680" t="s">
        <v>404</v>
      </c>
      <c r="C40" s="681">
        <f t="shared" si="2"/>
        <v>0</v>
      </c>
      <c r="D40" s="681">
        <f t="shared" si="2"/>
        <v>0</v>
      </c>
      <c r="E40" s="681">
        <f t="shared" si="2"/>
        <v>0</v>
      </c>
      <c r="F40" s="681">
        <f t="shared" si="2"/>
        <v>-12227.64</v>
      </c>
      <c r="G40" s="681">
        <f t="shared" si="2"/>
        <v>0</v>
      </c>
      <c r="H40" s="681">
        <f t="shared" si="2"/>
        <v>0</v>
      </c>
      <c r="I40" s="681">
        <f t="shared" si="2"/>
        <v>0</v>
      </c>
      <c r="J40" s="44"/>
      <c r="L40" s="61"/>
    </row>
    <row r="41" spans="1:12">
      <c r="A41" s="679">
        <f>MAX($A$4:A40)+1</f>
        <v>34</v>
      </c>
      <c r="B41" s="680" t="s">
        <v>327</v>
      </c>
      <c r="C41" s="687">
        <f t="shared" si="2"/>
        <v>0</v>
      </c>
      <c r="D41" s="687">
        <f t="shared" si="2"/>
        <v>0</v>
      </c>
      <c r="E41" s="687">
        <f t="shared" si="2"/>
        <v>0</v>
      </c>
      <c r="F41" s="687">
        <f t="shared" si="2"/>
        <v>0</v>
      </c>
      <c r="G41" s="687">
        <f t="shared" si="2"/>
        <v>0</v>
      </c>
      <c r="H41" s="687">
        <f t="shared" si="2"/>
        <v>0</v>
      </c>
      <c r="I41" s="687">
        <f t="shared" si="2"/>
        <v>0</v>
      </c>
      <c r="J41" s="44"/>
      <c r="L41" s="61"/>
    </row>
    <row r="42" spans="1:12">
      <c r="A42" s="679">
        <f>MAX($A$4:A41)+1</f>
        <v>35</v>
      </c>
      <c r="B42" s="680" t="s">
        <v>346</v>
      </c>
      <c r="C42" s="687">
        <f t="shared" si="2"/>
        <v>0</v>
      </c>
      <c r="D42" s="687">
        <f t="shared" si="2"/>
        <v>0</v>
      </c>
      <c r="E42" s="687">
        <f t="shared" si="2"/>
        <v>0</v>
      </c>
      <c r="F42" s="687">
        <f t="shared" si="2"/>
        <v>0</v>
      </c>
      <c r="G42" s="687">
        <f t="shared" si="2"/>
        <v>0</v>
      </c>
      <c r="H42" s="687">
        <f t="shared" si="2"/>
        <v>0</v>
      </c>
      <c r="I42" s="687">
        <f t="shared" si="2"/>
        <v>0</v>
      </c>
      <c r="J42" s="44"/>
      <c r="L42" s="61"/>
    </row>
    <row r="43" spans="1:12">
      <c r="A43" s="679">
        <f>MAX($A$4:A42)+1</f>
        <v>36</v>
      </c>
      <c r="B43" s="680" t="s">
        <v>328</v>
      </c>
      <c r="C43" s="687">
        <f t="shared" si="2"/>
        <v>-21.600970514928989</v>
      </c>
      <c r="D43" s="687">
        <f t="shared" si="2"/>
        <v>-1123.8982186305107</v>
      </c>
      <c r="E43" s="687">
        <f t="shared" si="2"/>
        <v>-151.66726342567034</v>
      </c>
      <c r="F43" s="687">
        <f t="shared" si="2"/>
        <v>1351.3861629517396</v>
      </c>
      <c r="G43" s="687">
        <f t="shared" si="2"/>
        <v>-3.0035243268964518</v>
      </c>
      <c r="H43" s="687">
        <f t="shared" si="2"/>
        <v>-1.2946628351167937</v>
      </c>
      <c r="I43" s="687">
        <f t="shared" si="2"/>
        <v>-49.921523218616557</v>
      </c>
      <c r="J43" s="44"/>
      <c r="L43" s="61"/>
    </row>
    <row r="44" spans="1:12">
      <c r="A44" s="679">
        <f>MAX($A$4:A43)+1</f>
        <v>37</v>
      </c>
      <c r="B44" s="680" t="s">
        <v>329</v>
      </c>
      <c r="C44" s="687">
        <f t="shared" si="2"/>
        <v>13.435811637023482</v>
      </c>
      <c r="D44" s="687">
        <f t="shared" si="2"/>
        <v>699.52240882374633</v>
      </c>
      <c r="E44" s="687">
        <f t="shared" si="2"/>
        <v>94.351487450713378</v>
      </c>
      <c r="F44" s="687">
        <f t="shared" si="2"/>
        <v>0</v>
      </c>
      <c r="G44" s="687">
        <f t="shared" si="2"/>
        <v>1.8682594627551161</v>
      </c>
      <c r="H44" s="687">
        <f t="shared" si="2"/>
        <v>-840.36464658223088</v>
      </c>
      <c r="I44" s="687">
        <f t="shared" si="2"/>
        <v>31.186679207992533</v>
      </c>
      <c r="J44" s="44"/>
    </row>
    <row r="45" spans="1:12">
      <c r="A45" s="679">
        <f>MAX($A$4:A44)+1</f>
        <v>38</v>
      </c>
      <c r="B45" s="680" t="s">
        <v>562</v>
      </c>
      <c r="C45" s="687">
        <f>AVERAGE(C19,C32)</f>
        <v>0</v>
      </c>
      <c r="D45" s="687">
        <f>AVERAGE(D32,D19)</f>
        <v>521.76710908232599</v>
      </c>
      <c r="E45" s="687">
        <f t="shared" ref="E45:I45" si="3">AVERAGE(E19,E32)</f>
        <v>0</v>
      </c>
      <c r="F45" s="687">
        <f t="shared" si="3"/>
        <v>0</v>
      </c>
      <c r="G45" s="687">
        <f>AVERAGE(G32,G19)</f>
        <v>-521.76710908232599</v>
      </c>
      <c r="H45" s="687">
        <f t="shared" si="3"/>
        <v>0</v>
      </c>
      <c r="I45" s="687">
        <f t="shared" si="3"/>
        <v>0</v>
      </c>
      <c r="J45" s="44"/>
    </row>
    <row r="46" spans="1:12" s="60" customFormat="1">
      <c r="A46" s="679">
        <f>MAX($A$4:A45)+1</f>
        <v>39</v>
      </c>
      <c r="B46" s="688" t="s">
        <v>13</v>
      </c>
      <c r="C46" s="684">
        <f t="shared" ref="C46:I46" si="4">SUM(C35:C45)</f>
        <v>14766.127895660989</v>
      </c>
      <c r="D46" s="684">
        <f t="shared" si="4"/>
        <v>741593.53970503784</v>
      </c>
      <c r="E46" s="684">
        <f t="shared" si="4"/>
        <v>84945.488126828859</v>
      </c>
      <c r="F46" s="684">
        <f t="shared" si="4"/>
        <v>-1.8189894035458565E-12</v>
      </c>
      <c r="G46" s="684">
        <f t="shared" si="4"/>
        <v>3030.4987600574868</v>
      </c>
      <c r="H46" s="684">
        <f t="shared" si="4"/>
        <v>1.1368683772161603E-13</v>
      </c>
      <c r="I46" s="684">
        <f t="shared" si="4"/>
        <v>257701.67955864218</v>
      </c>
      <c r="J46" s="44"/>
    </row>
    <row r="47" spans="1:12" ht="19.5" customHeight="1">
      <c r="A47" s="689" t="s">
        <v>33</v>
      </c>
      <c r="B47" s="672" t="s">
        <v>653</v>
      </c>
      <c r="C47" s="686"/>
      <c r="D47" s="686"/>
      <c r="E47" s="686"/>
      <c r="F47" s="686"/>
      <c r="G47" s="686"/>
      <c r="H47" s="686"/>
      <c r="I47" s="686"/>
      <c r="J47" s="44"/>
    </row>
    <row r="48" spans="1:12" ht="19.5" customHeight="1">
      <c r="A48" s="689" t="s">
        <v>310</v>
      </c>
      <c r="B48" s="672" t="s">
        <v>385</v>
      </c>
      <c r="C48" s="686"/>
      <c r="D48" s="686"/>
      <c r="E48" s="686"/>
      <c r="F48" s="686"/>
      <c r="G48" s="686"/>
      <c r="H48" s="686"/>
      <c r="I48" s="686"/>
      <c r="J48" s="44"/>
    </row>
    <row r="49" spans="1:10" ht="24.75" customHeight="1">
      <c r="A49" s="690" t="s">
        <v>561</v>
      </c>
      <c r="B49" s="911" t="s">
        <v>567</v>
      </c>
      <c r="C49" s="912"/>
      <c r="D49" s="912"/>
      <c r="E49" s="912"/>
      <c r="F49" s="912"/>
      <c r="G49" s="912"/>
      <c r="H49" s="912"/>
      <c r="I49" s="912"/>
      <c r="J49" s="64"/>
    </row>
    <row r="50" spans="1:10">
      <c r="A50" s="62"/>
      <c r="B50" s="844"/>
      <c r="C50" s="66"/>
      <c r="D50" s="66"/>
      <c r="E50" s="66"/>
      <c r="F50" s="66"/>
      <c r="G50" s="67"/>
      <c r="H50" s="66"/>
      <c r="I50" s="66"/>
      <c r="J50" s="66"/>
    </row>
    <row r="51" spans="1:10">
      <c r="A51" s="68"/>
      <c r="B51" s="69" t="s">
        <v>134</v>
      </c>
      <c r="C51" s="70"/>
      <c r="D51" s="66"/>
      <c r="E51" s="66"/>
      <c r="F51" s="66"/>
      <c r="G51" s="66"/>
      <c r="H51" s="71"/>
      <c r="J51" s="66"/>
    </row>
    <row r="52" spans="1:10">
      <c r="A52" s="62"/>
      <c r="B52" s="65" t="s">
        <v>113</v>
      </c>
      <c r="C52" s="73" t="s">
        <v>14</v>
      </c>
      <c r="D52" s="73" t="s">
        <v>15</v>
      </c>
      <c r="E52" s="73" t="s">
        <v>18</v>
      </c>
      <c r="F52" s="73" t="s">
        <v>19</v>
      </c>
      <c r="G52" s="73" t="s">
        <v>16</v>
      </c>
      <c r="H52" s="73" t="s">
        <v>17</v>
      </c>
      <c r="I52" s="73" t="s">
        <v>12</v>
      </c>
      <c r="J52" s="73" t="s">
        <v>13</v>
      </c>
    </row>
    <row r="53" spans="1:10">
      <c r="A53" s="62"/>
      <c r="B53" s="65" t="s">
        <v>457</v>
      </c>
      <c r="C53" s="74">
        <f>'T-1'!D8</f>
        <v>105573.5685453015</v>
      </c>
      <c r="D53" s="74">
        <f>'T-1'!E8</f>
        <v>5362762.859427697</v>
      </c>
      <c r="E53" s="74">
        <f>'T-1'!F8</f>
        <v>737166.55195654207</v>
      </c>
      <c r="F53" s="74"/>
      <c r="G53" s="74">
        <f>'T-1'!H8</f>
        <v>14660.703273572326</v>
      </c>
      <c r="H53" s="74">
        <f>'T-1'!I8</f>
        <v>6318.7206196406487</v>
      </c>
      <c r="I53" s="74">
        <f>'T-1'!J8</f>
        <v>205409.18280106012</v>
      </c>
      <c r="J53" s="75">
        <f>SUM(C53:I53)</f>
        <v>6431891.586623813</v>
      </c>
    </row>
    <row r="54" spans="1:10">
      <c r="A54" s="62"/>
      <c r="C54" s="76">
        <f t="shared" ref="C54:I54" si="5">C53/$J53</f>
        <v>1.6414077744229906E-2</v>
      </c>
      <c r="D54" s="76">
        <f t="shared" si="5"/>
        <v>0.83377693594532176</v>
      </c>
      <c r="E54" s="76">
        <f t="shared" si="5"/>
        <v>0.1146111594122019</v>
      </c>
      <c r="F54" s="76">
        <f t="shared" si="5"/>
        <v>0</v>
      </c>
      <c r="G54" s="76">
        <f t="shared" si="5"/>
        <v>2.2793766151254311E-3</v>
      </c>
      <c r="H54" s="76">
        <f t="shared" si="5"/>
        <v>9.8240471477807211E-4</v>
      </c>
      <c r="I54" s="76">
        <f t="shared" si="5"/>
        <v>3.1936045568343008E-2</v>
      </c>
      <c r="J54" s="75"/>
    </row>
    <row r="55" spans="1:10">
      <c r="A55" s="62"/>
      <c r="B55" s="65" t="s">
        <v>458</v>
      </c>
      <c r="C55" s="74">
        <f>'T-1'!D17</f>
        <v>101582.33779558937</v>
      </c>
      <c r="D55" s="74">
        <f>'T-1'!E17</f>
        <v>5423357.1699967328</v>
      </c>
      <c r="E55" s="74">
        <f>'T-1'!F17</f>
        <v>717586.28647830954</v>
      </c>
      <c r="F55" s="74"/>
      <c r="G55" s="74">
        <f>'T-1'!H17</f>
        <v>14144.586068489683</v>
      </c>
      <c r="H55" s="74">
        <f>'T-1'!I17</f>
        <v>6097.7832873717307</v>
      </c>
      <c r="I55" s="74">
        <f>'T-1'!J17</f>
        <v>275655.20300430944</v>
      </c>
      <c r="J55" s="75">
        <f>SUM(C55:I55)</f>
        <v>6538423.3666308019</v>
      </c>
    </row>
    <row r="56" spans="1:10">
      <c r="A56" s="62"/>
      <c r="C56" s="76">
        <f t="shared" ref="C56:I56" si="6">C55/$J55</f>
        <v>1.5536212952195835E-2</v>
      </c>
      <c r="D56" s="76">
        <f t="shared" si="6"/>
        <v>0.82945946842095453</v>
      </c>
      <c r="E56" s="76">
        <f t="shared" si="6"/>
        <v>0.10974913159348935</v>
      </c>
      <c r="F56" s="76">
        <f t="shared" si="6"/>
        <v>0</v>
      </c>
      <c r="G56" s="76">
        <f t="shared" si="6"/>
        <v>2.1633022634596202E-3</v>
      </c>
      <c r="H56" s="76">
        <f t="shared" si="6"/>
        <v>9.3260759443814824E-4</v>
      </c>
      <c r="I56" s="76">
        <f t="shared" si="6"/>
        <v>4.2159277175462619E-2</v>
      </c>
      <c r="J56" s="75"/>
    </row>
    <row r="57" spans="1:10">
      <c r="A57" s="62"/>
      <c r="C57" s="76"/>
      <c r="D57" s="76"/>
      <c r="E57" s="76"/>
      <c r="F57" s="76"/>
      <c r="G57" s="76"/>
      <c r="H57" s="76"/>
      <c r="I57" s="76"/>
      <c r="J57" s="75"/>
    </row>
    <row r="58" spans="1:10">
      <c r="A58" s="62"/>
      <c r="B58" s="63" t="s">
        <v>152</v>
      </c>
      <c r="C58" s="66"/>
      <c r="D58" s="66"/>
      <c r="E58" s="66"/>
      <c r="F58" s="66"/>
      <c r="G58" s="66"/>
      <c r="H58" s="66"/>
      <c r="I58" s="66"/>
      <c r="J58" s="66"/>
    </row>
    <row r="59" spans="1:10">
      <c r="B59" s="65" t="s">
        <v>459</v>
      </c>
      <c r="C59" s="74">
        <f>'T-1'!D8</f>
        <v>105573.5685453015</v>
      </c>
      <c r="D59" s="74">
        <f>'T-1'!E8</f>
        <v>5362762.859427697</v>
      </c>
      <c r="E59" s="74">
        <f>'T-1'!F8</f>
        <v>737166.55195654207</v>
      </c>
      <c r="F59" s="74"/>
      <c r="G59" s="74">
        <f>'T-1'!H8</f>
        <v>14660.703273572326</v>
      </c>
      <c r="H59" s="74"/>
      <c r="I59" s="74">
        <f>'T-1'!J8</f>
        <v>205409.18280106012</v>
      </c>
      <c r="J59" s="75">
        <f>SUM(C59:I59)</f>
        <v>6425572.8660041727</v>
      </c>
    </row>
    <row r="60" spans="1:10">
      <c r="C60" s="30">
        <f t="shared" ref="C60:I60" si="7">C59/$J$59</f>
        <v>1.6430218868711363E-2</v>
      </c>
      <c r="D60" s="30">
        <f t="shared" si="7"/>
        <v>0.83459684782356247</v>
      </c>
      <c r="E60" s="30">
        <f t="shared" si="7"/>
        <v>0.11472386467775889</v>
      </c>
      <c r="F60" s="30">
        <f t="shared" si="7"/>
        <v>0</v>
      </c>
      <c r="G60" s="30">
        <f t="shared" si="7"/>
        <v>2.2816180874919061E-3</v>
      </c>
      <c r="H60" s="30">
        <f t="shared" si="7"/>
        <v>0</v>
      </c>
      <c r="I60" s="30">
        <f t="shared" si="7"/>
        <v>3.1967450542475372E-2</v>
      </c>
      <c r="J60" s="66"/>
    </row>
    <row r="61" spans="1:10">
      <c r="B61" s="65" t="s">
        <v>460</v>
      </c>
      <c r="C61" s="74">
        <f>'T-1'!D17</f>
        <v>101582.33779558937</v>
      </c>
      <c r="D61" s="74">
        <f>'T-1'!E17</f>
        <v>5423357.1699967328</v>
      </c>
      <c r="E61" s="74">
        <f>'T-1'!F17</f>
        <v>717586.28647830954</v>
      </c>
      <c r="F61" s="74"/>
      <c r="G61" s="74">
        <f>'T-1'!H17</f>
        <v>14144.586068489683</v>
      </c>
      <c r="H61" s="74"/>
      <c r="I61" s="74">
        <f>'T-1'!J17</f>
        <v>275655.20300430944</v>
      </c>
      <c r="J61" s="75">
        <f>SUM(C61:I61)</f>
        <v>6532325.5833434314</v>
      </c>
    </row>
    <row r="62" spans="1:10">
      <c r="C62" s="30">
        <f t="shared" ref="C62:I62" si="8">C61/$J$61</f>
        <v>1.5550715667726502E-2</v>
      </c>
      <c r="D62" s="30">
        <f t="shared" si="8"/>
        <v>0.83023375072203665</v>
      </c>
      <c r="E62" s="30">
        <f t="shared" si="8"/>
        <v>0.10985158001126887</v>
      </c>
      <c r="F62" s="30">
        <f t="shared" si="8"/>
        <v>0</v>
      </c>
      <c r="G62" s="30">
        <f t="shared" si="8"/>
        <v>2.1653216588830957E-3</v>
      </c>
      <c r="H62" s="30">
        <f t="shared" si="8"/>
        <v>0</v>
      </c>
      <c r="I62" s="30">
        <f t="shared" si="8"/>
        <v>4.2198631940084837E-2</v>
      </c>
      <c r="J62" s="66"/>
    </row>
    <row r="63" spans="1:10">
      <c r="A63" s="62"/>
      <c r="C63" s="76"/>
      <c r="D63" s="76"/>
      <c r="E63" s="76"/>
      <c r="F63" s="76"/>
      <c r="G63" s="76"/>
      <c r="H63" s="76"/>
      <c r="I63" s="76"/>
      <c r="J63" s="75"/>
    </row>
    <row r="64" spans="1:10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>
      <c r="C69" s="77"/>
      <c r="D69" s="77"/>
      <c r="E69" s="77"/>
      <c r="F69" s="77"/>
      <c r="G69" s="77"/>
      <c r="H69" s="77"/>
      <c r="I69" s="77"/>
      <c r="J69" s="77"/>
    </row>
    <row r="70" spans="1:10">
      <c r="C70" s="30"/>
      <c r="D70" s="30"/>
      <c r="E70" s="30"/>
      <c r="F70" s="30"/>
      <c r="G70" s="30"/>
      <c r="H70" s="30"/>
      <c r="I70" s="30"/>
      <c r="J70" s="66"/>
    </row>
    <row r="71" spans="1:10">
      <c r="C71" s="77"/>
      <c r="D71" s="77"/>
      <c r="E71" s="77"/>
      <c r="F71" s="77"/>
      <c r="G71" s="77"/>
      <c r="H71" s="77"/>
      <c r="I71" s="77"/>
      <c r="J71" s="77"/>
    </row>
    <row r="72" spans="1:10">
      <c r="C72" s="30"/>
      <c r="D72" s="30"/>
      <c r="E72" s="30"/>
      <c r="F72" s="30"/>
      <c r="G72" s="30"/>
      <c r="H72" s="30"/>
      <c r="I72" s="30"/>
      <c r="J72" s="66"/>
    </row>
    <row r="73" spans="1:10">
      <c r="C73" s="66"/>
      <c r="D73" s="66"/>
      <c r="E73" s="66"/>
      <c r="F73" s="66"/>
      <c r="G73" s="66"/>
      <c r="H73" s="66"/>
      <c r="I73" s="66"/>
      <c r="J73" s="66"/>
    </row>
    <row r="74" spans="1:10">
      <c r="C74" s="66"/>
      <c r="D74" s="66"/>
      <c r="E74" s="66"/>
      <c r="F74" s="66"/>
      <c r="G74" s="66"/>
      <c r="H74" s="66"/>
      <c r="I74" s="66"/>
      <c r="J74" s="66"/>
    </row>
    <row r="75" spans="1:10">
      <c r="C75" s="77"/>
      <c r="D75" s="77"/>
      <c r="E75" s="77"/>
      <c r="F75" s="77"/>
      <c r="G75" s="77"/>
      <c r="H75" s="77"/>
      <c r="I75" s="77"/>
      <c r="J75" s="77"/>
    </row>
    <row r="76" spans="1:10">
      <c r="C76" s="30"/>
      <c r="D76" s="30"/>
      <c r="E76" s="30"/>
      <c r="F76" s="30"/>
      <c r="G76" s="30"/>
      <c r="H76" s="30"/>
      <c r="I76" s="30"/>
      <c r="J76" s="66"/>
    </row>
    <row r="77" spans="1:10">
      <c r="C77" s="77"/>
      <c r="D77" s="77"/>
      <c r="E77" s="77"/>
      <c r="F77" s="77"/>
      <c r="G77" s="77"/>
      <c r="H77" s="77"/>
      <c r="I77" s="77"/>
      <c r="J77" s="77"/>
    </row>
    <row r="78" spans="1:10">
      <c r="C78" s="30"/>
      <c r="D78" s="30"/>
      <c r="E78" s="30"/>
      <c r="F78" s="30"/>
      <c r="G78" s="30"/>
      <c r="H78" s="30"/>
      <c r="I78" s="30"/>
      <c r="J78" s="66"/>
    </row>
    <row r="79" spans="1:10">
      <c r="C79" s="66"/>
      <c r="D79" s="66"/>
      <c r="E79" s="66"/>
      <c r="F79" s="66"/>
      <c r="G79" s="66"/>
      <c r="H79" s="66"/>
      <c r="I79" s="66"/>
      <c r="J79" s="66"/>
    </row>
    <row r="80" spans="1:10">
      <c r="C80" s="66"/>
      <c r="D80" s="66"/>
      <c r="E80" s="66"/>
      <c r="F80" s="66"/>
      <c r="G80" s="66"/>
      <c r="H80" s="66"/>
      <c r="I80" s="66"/>
      <c r="J80" s="66"/>
    </row>
    <row r="81" spans="3:10">
      <c r="C81" s="77"/>
      <c r="D81" s="77"/>
      <c r="E81" s="77"/>
      <c r="F81" s="77"/>
      <c r="G81" s="77"/>
      <c r="H81" s="77"/>
      <c r="I81" s="77"/>
      <c r="J81" s="77"/>
    </row>
    <row r="82" spans="3:10">
      <c r="C82" s="30"/>
      <c r="D82" s="30"/>
      <c r="E82" s="30"/>
      <c r="F82" s="30"/>
      <c r="G82" s="30"/>
      <c r="H82" s="30"/>
      <c r="I82" s="30"/>
      <c r="J82" s="66"/>
    </row>
    <row r="83" spans="3:10">
      <c r="C83" s="77"/>
      <c r="D83" s="77"/>
      <c r="E83" s="77"/>
      <c r="F83" s="77"/>
      <c r="G83" s="77"/>
      <c r="H83" s="77"/>
      <c r="I83" s="77"/>
      <c r="J83" s="77"/>
    </row>
    <row r="84" spans="3:10">
      <c r="C84" s="30"/>
      <c r="D84" s="30"/>
      <c r="E84" s="30"/>
      <c r="F84" s="30"/>
      <c r="G84" s="30"/>
      <c r="H84" s="30"/>
      <c r="I84" s="30"/>
      <c r="J84" s="66"/>
    </row>
    <row r="85" spans="3:10">
      <c r="C85" s="66"/>
      <c r="D85" s="66"/>
      <c r="E85" s="66"/>
      <c r="F85" s="66"/>
      <c r="G85" s="66"/>
      <c r="H85" s="66"/>
      <c r="I85" s="66"/>
      <c r="J85" s="66"/>
    </row>
    <row r="86" spans="3:10">
      <c r="C86" s="66"/>
      <c r="D86" s="66"/>
      <c r="E86" s="66"/>
      <c r="F86" s="66"/>
      <c r="G86" s="66"/>
      <c r="H86" s="66"/>
      <c r="I86" s="66"/>
      <c r="J86" s="66"/>
    </row>
    <row r="87" spans="3:10">
      <c r="C87" s="66"/>
      <c r="D87" s="66"/>
      <c r="E87" s="66"/>
      <c r="F87" s="66"/>
      <c r="G87" s="66"/>
      <c r="H87" s="66"/>
      <c r="I87" s="66"/>
      <c r="J87" s="66"/>
    </row>
    <row r="88" spans="3:10">
      <c r="C88" s="66"/>
      <c r="D88" s="66"/>
      <c r="E88" s="66"/>
      <c r="F88" s="66"/>
      <c r="G88" s="66"/>
      <c r="H88" s="66"/>
      <c r="I88" s="66"/>
      <c r="J88" s="66"/>
    </row>
    <row r="89" spans="3:10">
      <c r="C89" s="66"/>
      <c r="D89" s="66"/>
      <c r="E89" s="66"/>
      <c r="F89" s="66"/>
      <c r="G89" s="66"/>
      <c r="H89" s="66"/>
      <c r="I89" s="66"/>
      <c r="J89" s="66"/>
    </row>
    <row r="90" spans="3:10">
      <c r="C90" s="66"/>
      <c r="D90" s="66"/>
      <c r="E90" s="66"/>
      <c r="F90" s="66"/>
      <c r="G90" s="66"/>
      <c r="H90" s="66"/>
      <c r="I90" s="66"/>
      <c r="J90" s="66"/>
    </row>
    <row r="91" spans="3:10">
      <c r="C91" s="66"/>
      <c r="D91" s="66"/>
      <c r="E91" s="66"/>
      <c r="F91" s="66"/>
      <c r="G91" s="66"/>
      <c r="H91" s="66"/>
      <c r="I91" s="66"/>
      <c r="J91" s="66"/>
    </row>
    <row r="92" spans="3:10">
      <c r="C92" s="66"/>
      <c r="D92" s="66"/>
      <c r="E92" s="66"/>
      <c r="F92" s="66"/>
      <c r="G92" s="66"/>
      <c r="H92" s="66"/>
      <c r="I92" s="66"/>
      <c r="J92" s="66"/>
    </row>
  </sheetData>
  <mergeCells count="6">
    <mergeCell ref="B49:I49"/>
    <mergeCell ref="A1:I1"/>
    <mergeCell ref="A2:I2"/>
    <mergeCell ref="A3:I3"/>
    <mergeCell ref="G6:H6"/>
    <mergeCell ref="E6:F6"/>
  </mergeCells>
  <phoneticPr fontId="22" type="noConversion"/>
  <printOptions horizontalCentered="1"/>
  <pageMargins left="0.5" right="0.5" top="1" bottom="1" header="0.5" footer="0.5"/>
  <pageSetup scale="76" fitToHeight="0" orientation="landscape" blackAndWhite="1" horizontalDpi="300" verticalDpi="300" r:id="rId1"/>
  <headerFooter alignWithMargins="0"/>
  <ignoredErrors>
    <ignoredError sqref="F17 H18 F30 H31 D45 G45 C55:I5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autoPageBreaks="0" fitToPage="1"/>
  </sheetPr>
  <dimension ref="A1:Y117"/>
  <sheetViews>
    <sheetView zoomScale="80" zoomScaleNormal="80" workbookViewId="0">
      <selection sqref="A1:P1"/>
    </sheetView>
  </sheetViews>
  <sheetFormatPr defaultColWidth="8" defaultRowHeight="13.2"/>
  <cols>
    <col min="1" max="1" width="5.33203125" style="85" customWidth="1"/>
    <col min="2" max="2" width="49.33203125" style="86" customWidth="1"/>
    <col min="3" max="3" width="8.44140625" style="87" customWidth="1"/>
    <col min="4" max="4" width="10" style="85" customWidth="1"/>
    <col min="5" max="5" width="9.6640625" style="85" customWidth="1"/>
    <col min="6" max="6" width="9.33203125" style="85" customWidth="1"/>
    <col min="7" max="8" width="9.44140625" style="85" customWidth="1"/>
    <col min="9" max="9" width="9.44140625" style="81" customWidth="1"/>
    <col min="10" max="10" width="9.6640625" style="81" customWidth="1"/>
    <col min="11" max="11" width="9.33203125" style="81" customWidth="1"/>
    <col min="12" max="12" width="9.44140625" style="81" customWidth="1"/>
    <col min="13" max="14" width="9.33203125" style="81" customWidth="1"/>
    <col min="15" max="15" width="9" style="81" customWidth="1"/>
    <col min="16" max="16" width="10" style="91" customWidth="1"/>
    <col min="17" max="17" width="3" style="81" customWidth="1"/>
    <col min="18" max="18" width="16.5546875" style="81" bestFit="1" customWidth="1"/>
    <col min="19" max="19" width="8" style="81" customWidth="1"/>
    <col min="20" max="16384" width="8" style="81"/>
  </cols>
  <sheetData>
    <row r="1" spans="1:25" s="43" customFormat="1" ht="20.25" customHeight="1">
      <c r="A1" s="908" t="s">
        <v>216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</row>
    <row r="2" spans="1:25" s="43" customFormat="1" ht="20.25" customHeight="1">
      <c r="A2" s="908" t="s">
        <v>219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</row>
    <row r="3" spans="1:25" s="43" customFormat="1" ht="20.25" customHeight="1">
      <c r="A3" s="913" t="s">
        <v>220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R3" s="204"/>
      <c r="S3" s="204"/>
      <c r="T3" s="204"/>
      <c r="U3" s="204"/>
      <c r="V3" s="204"/>
      <c r="W3" s="204"/>
      <c r="X3" s="204"/>
      <c r="Y3" s="204"/>
    </row>
    <row r="4" spans="1:25">
      <c r="A4" s="642"/>
      <c r="B4" s="633" t="s">
        <v>0</v>
      </c>
      <c r="C4" s="633" t="s">
        <v>1</v>
      </c>
      <c r="D4" s="633" t="s">
        <v>2</v>
      </c>
      <c r="E4" s="633" t="s">
        <v>3</v>
      </c>
      <c r="F4" s="633" t="s">
        <v>4</v>
      </c>
      <c r="G4" s="633" t="s">
        <v>5</v>
      </c>
      <c r="H4" s="633" t="s">
        <v>6</v>
      </c>
      <c r="I4" s="633" t="s">
        <v>7</v>
      </c>
      <c r="J4" s="634" t="s">
        <v>39</v>
      </c>
      <c r="K4" s="634" t="s">
        <v>40</v>
      </c>
      <c r="L4" s="634" t="s">
        <v>41</v>
      </c>
      <c r="M4" s="634" t="s">
        <v>49</v>
      </c>
      <c r="N4" s="634" t="s">
        <v>75</v>
      </c>
      <c r="O4" s="634" t="s">
        <v>271</v>
      </c>
      <c r="P4" s="634" t="s">
        <v>272</v>
      </c>
      <c r="Q4" s="43"/>
      <c r="R4" s="204"/>
      <c r="S4" s="779"/>
      <c r="T4" s="779"/>
      <c r="U4" s="779"/>
      <c r="V4" s="779"/>
      <c r="W4" s="779"/>
      <c r="X4" s="779"/>
      <c r="Y4" s="779"/>
    </row>
    <row r="5" spans="1:25">
      <c r="A5" s="642"/>
      <c r="B5" s="659" t="s">
        <v>76</v>
      </c>
      <c r="C5" s="636" t="s">
        <v>77</v>
      </c>
      <c r="D5" s="636" t="s">
        <v>78</v>
      </c>
      <c r="E5" s="636" t="s">
        <v>79</v>
      </c>
      <c r="F5" s="636" t="s">
        <v>80</v>
      </c>
      <c r="G5" s="636" t="s">
        <v>81</v>
      </c>
      <c r="H5" s="636" t="s">
        <v>82</v>
      </c>
      <c r="I5" s="636" t="s">
        <v>83</v>
      </c>
      <c r="J5" s="636" t="s">
        <v>84</v>
      </c>
      <c r="K5" s="636" t="s">
        <v>85</v>
      </c>
      <c r="L5" s="636" t="s">
        <v>86</v>
      </c>
      <c r="M5" s="636" t="s">
        <v>87</v>
      </c>
      <c r="N5" s="636" t="s">
        <v>88</v>
      </c>
      <c r="O5" s="636" t="s">
        <v>89</v>
      </c>
      <c r="P5" s="636" t="s">
        <v>43</v>
      </c>
      <c r="Q5" s="43"/>
      <c r="R5" s="204"/>
      <c r="S5" s="779"/>
      <c r="T5" s="779"/>
      <c r="U5" s="779"/>
      <c r="V5" s="779"/>
      <c r="W5" s="779"/>
      <c r="X5" s="779"/>
      <c r="Y5" s="779"/>
    </row>
    <row r="6" spans="1:25" ht="24.75" customHeight="1">
      <c r="A6" s="638">
        <v>1</v>
      </c>
      <c r="B6" s="660" t="s">
        <v>15</v>
      </c>
      <c r="C6" s="644"/>
      <c r="D6" s="661"/>
      <c r="E6" s="661"/>
      <c r="F6" s="661"/>
      <c r="G6" s="661"/>
      <c r="H6" s="661"/>
      <c r="I6" s="662"/>
      <c r="J6" s="647"/>
      <c r="K6" s="647"/>
      <c r="L6" s="647"/>
      <c r="M6" s="647"/>
      <c r="N6" s="647"/>
      <c r="O6" s="647"/>
      <c r="P6" s="663"/>
      <c r="Q6" s="43"/>
      <c r="R6" s="204"/>
      <c r="S6" s="779"/>
      <c r="T6" s="779"/>
      <c r="U6" s="779"/>
      <c r="V6" s="779"/>
      <c r="W6" s="779"/>
      <c r="X6" s="779"/>
      <c r="Y6" s="779"/>
    </row>
    <row r="7" spans="1:25">
      <c r="A7" s="638">
        <f>A6+1</f>
        <v>2</v>
      </c>
      <c r="B7" s="648" t="str">
        <f>+CONCATENATE("FY "&amp;Input!$A$4)</f>
        <v>FY 2022</v>
      </c>
      <c r="C7" s="640"/>
      <c r="D7" s="661"/>
      <c r="E7" s="661"/>
      <c r="F7" s="661"/>
      <c r="G7" s="661"/>
      <c r="H7" s="661"/>
      <c r="I7" s="662"/>
      <c r="J7" s="647"/>
      <c r="K7" s="647"/>
      <c r="L7" s="647"/>
      <c r="M7" s="647"/>
      <c r="N7" s="647"/>
      <c r="O7" s="647"/>
      <c r="P7" s="663"/>
      <c r="Q7" s="43"/>
      <c r="R7" s="204"/>
      <c r="S7" s="779"/>
      <c r="T7" s="779"/>
      <c r="U7" s="779"/>
      <c r="V7" s="779"/>
      <c r="W7" s="779"/>
      <c r="X7" s="779"/>
      <c r="Y7" s="779"/>
    </row>
    <row r="8" spans="1:25">
      <c r="A8" s="638">
        <f t="shared" ref="A8:A71" si="0">A7+1</f>
        <v>3</v>
      </c>
      <c r="B8" s="664" t="s">
        <v>376</v>
      </c>
      <c r="C8" s="640" t="s">
        <v>203</v>
      </c>
      <c r="D8" s="665">
        <v>2.273732476635514</v>
      </c>
      <c r="E8" s="665">
        <v>2.273732476635514</v>
      </c>
      <c r="F8" s="665">
        <v>2.273732476635514</v>
      </c>
      <c r="G8" s="665">
        <v>2.273732476635514</v>
      </c>
      <c r="H8" s="665">
        <v>2.273732476635514</v>
      </c>
      <c r="I8" s="665">
        <v>2.273732476635514</v>
      </c>
      <c r="J8" s="665">
        <v>2.273732476635514</v>
      </c>
      <c r="K8" s="665">
        <v>2.273732476635514</v>
      </c>
      <c r="L8" s="665">
        <v>2.273732476635514</v>
      </c>
      <c r="M8" s="665">
        <v>2.273732476635514</v>
      </c>
      <c r="N8" s="665">
        <v>2.273732476635514</v>
      </c>
      <c r="O8" s="665">
        <v>2.273732476635514</v>
      </c>
      <c r="P8" s="650">
        <f>AVERAGE(D8:O8)</f>
        <v>2.2737324766355145</v>
      </c>
      <c r="Q8" s="43"/>
      <c r="R8" s="203"/>
      <c r="S8" s="779"/>
      <c r="T8" s="779"/>
      <c r="U8" s="779"/>
      <c r="V8" s="779"/>
      <c r="W8" s="779"/>
      <c r="X8" s="779"/>
      <c r="Y8" s="779"/>
    </row>
    <row r="9" spans="1:25">
      <c r="A9" s="638">
        <f t="shared" si="0"/>
        <v>4</v>
      </c>
      <c r="B9" s="664" t="s">
        <v>377</v>
      </c>
      <c r="C9" s="640"/>
      <c r="D9" s="665">
        <v>0</v>
      </c>
      <c r="E9" s="665">
        <v>0</v>
      </c>
      <c r="F9" s="665">
        <v>0</v>
      </c>
      <c r="G9" s="665">
        <v>0</v>
      </c>
      <c r="H9" s="665">
        <v>0</v>
      </c>
      <c r="I9" s="665">
        <v>0</v>
      </c>
      <c r="J9" s="665">
        <v>0</v>
      </c>
      <c r="K9" s="665">
        <v>0</v>
      </c>
      <c r="L9" s="665">
        <v>0</v>
      </c>
      <c r="M9" s="665">
        <v>0</v>
      </c>
      <c r="N9" s="665">
        <v>0</v>
      </c>
      <c r="O9" s="665">
        <v>0</v>
      </c>
      <c r="P9" s="650">
        <f>AVERAGE(D9:O9)</f>
        <v>0</v>
      </c>
      <c r="Q9" s="43"/>
      <c r="R9" s="203"/>
      <c r="S9" s="779"/>
      <c r="T9" s="779"/>
      <c r="U9" s="779"/>
      <c r="V9" s="779"/>
      <c r="W9" s="779"/>
      <c r="X9" s="779"/>
      <c r="Y9" s="779"/>
    </row>
    <row r="10" spans="1:25">
      <c r="A10" s="638">
        <f t="shared" si="0"/>
        <v>5</v>
      </c>
      <c r="B10" s="666" t="s">
        <v>373</v>
      </c>
      <c r="C10" s="640" t="s">
        <v>203</v>
      </c>
      <c r="D10" s="665">
        <v>27893</v>
      </c>
      <c r="E10" s="665">
        <v>27893</v>
      </c>
      <c r="F10" s="665">
        <v>27811</v>
      </c>
      <c r="G10" s="665">
        <v>27951</v>
      </c>
      <c r="H10" s="665">
        <v>27951</v>
      </c>
      <c r="I10" s="665">
        <v>27951</v>
      </c>
      <c r="J10" s="665">
        <v>27951</v>
      </c>
      <c r="K10" s="665">
        <v>27951.002687540771</v>
      </c>
      <c r="L10" s="665">
        <v>27951</v>
      </c>
      <c r="M10" s="665">
        <v>27951</v>
      </c>
      <c r="N10" s="665">
        <v>27951</v>
      </c>
      <c r="O10" s="665">
        <v>27966.997221135029</v>
      </c>
      <c r="P10" s="650">
        <f t="shared" ref="P10:P15" si="1">AVERAGE(D10:O10)</f>
        <v>27930.99999238965</v>
      </c>
      <c r="Q10" s="43"/>
      <c r="R10" s="203"/>
      <c r="S10" s="779"/>
      <c r="T10" s="779"/>
      <c r="U10" s="779"/>
      <c r="V10" s="779"/>
      <c r="W10" s="779"/>
      <c r="X10" s="779"/>
      <c r="Y10" s="779"/>
    </row>
    <row r="11" spans="1:25">
      <c r="A11" s="638">
        <f t="shared" si="0"/>
        <v>6</v>
      </c>
      <c r="B11" s="666" t="s">
        <v>116</v>
      </c>
      <c r="C11" s="640" t="s">
        <v>203</v>
      </c>
      <c r="D11" s="667">
        <v>-274.19713633398567</v>
      </c>
      <c r="E11" s="667">
        <v>-274.19713633398567</v>
      </c>
      <c r="F11" s="667">
        <v>-274.19713633398567</v>
      </c>
      <c r="G11" s="667">
        <v>-274.08514024788002</v>
      </c>
      <c r="H11" s="667">
        <v>-274.08514024788002</v>
      </c>
      <c r="I11" s="667">
        <v>-274.08514024788002</v>
      </c>
      <c r="J11" s="667">
        <v>-274.08514024788002</v>
      </c>
      <c r="K11" s="667">
        <v>-274.08514024788002</v>
      </c>
      <c r="L11" s="667">
        <v>-274.08514024788002</v>
      </c>
      <c r="M11" s="667">
        <v>-274.08514024788002</v>
      </c>
      <c r="N11" s="667">
        <v>-274.08514024788002</v>
      </c>
      <c r="O11" s="667">
        <v>-274.08514024788002</v>
      </c>
      <c r="P11" s="668">
        <f t="shared" si="1"/>
        <v>-274.11313926940647</v>
      </c>
      <c r="Q11" s="43"/>
      <c r="R11" s="203"/>
      <c r="S11" s="779"/>
      <c r="T11" s="779"/>
      <c r="U11" s="779"/>
      <c r="V11" s="779"/>
      <c r="W11" s="779"/>
      <c r="X11" s="779"/>
      <c r="Y11" s="779"/>
    </row>
    <row r="12" spans="1:25">
      <c r="A12" s="638">
        <f t="shared" si="0"/>
        <v>7</v>
      </c>
      <c r="B12" s="664" t="s">
        <v>90</v>
      </c>
      <c r="C12" s="640" t="s">
        <v>203</v>
      </c>
      <c r="D12" s="669">
        <f>SUM(D10:D11)</f>
        <v>27618.802863666013</v>
      </c>
      <c r="E12" s="669">
        <f t="shared" ref="E12:O12" si="2">SUM(E10:E11)</f>
        <v>27618.802863666013</v>
      </c>
      <c r="F12" s="669">
        <f t="shared" si="2"/>
        <v>27536.802863666013</v>
      </c>
      <c r="G12" s="669">
        <f t="shared" si="2"/>
        <v>27676.91485975212</v>
      </c>
      <c r="H12" s="669">
        <f t="shared" si="2"/>
        <v>27676.91485975212</v>
      </c>
      <c r="I12" s="669">
        <f t="shared" si="2"/>
        <v>27676.91485975212</v>
      </c>
      <c r="J12" s="669">
        <f t="shared" si="2"/>
        <v>27676.91485975212</v>
      </c>
      <c r="K12" s="669">
        <f t="shared" si="2"/>
        <v>27676.917547292891</v>
      </c>
      <c r="L12" s="669">
        <f t="shared" si="2"/>
        <v>27676.91485975212</v>
      </c>
      <c r="M12" s="669">
        <f t="shared" si="2"/>
        <v>27676.91485975212</v>
      </c>
      <c r="N12" s="669">
        <f t="shared" si="2"/>
        <v>27676.91485975212</v>
      </c>
      <c r="O12" s="669">
        <f t="shared" si="2"/>
        <v>27692.912080887148</v>
      </c>
      <c r="P12" s="668">
        <f t="shared" si="1"/>
        <v>27656.886853120235</v>
      </c>
      <c r="Q12" s="43"/>
      <c r="R12" s="204"/>
      <c r="S12" s="779"/>
      <c r="T12" s="779"/>
      <c r="U12" s="779"/>
      <c r="V12" s="779"/>
      <c r="W12" s="779"/>
      <c r="X12" s="779"/>
      <c r="Y12" s="779"/>
    </row>
    <row r="13" spans="1:25">
      <c r="A13" s="638">
        <f t="shared" si="0"/>
        <v>8</v>
      </c>
      <c r="B13" s="664" t="s">
        <v>193</v>
      </c>
      <c r="C13" s="640" t="s">
        <v>203</v>
      </c>
      <c r="D13" s="669">
        <f>D10</f>
        <v>27893</v>
      </c>
      <c r="E13" s="669">
        <f t="shared" ref="E13:O13" si="3">E10</f>
        <v>27893</v>
      </c>
      <c r="F13" s="669">
        <f t="shared" si="3"/>
        <v>27811</v>
      </c>
      <c r="G13" s="669">
        <f t="shared" si="3"/>
        <v>27951</v>
      </c>
      <c r="H13" s="669">
        <f t="shared" si="3"/>
        <v>27951</v>
      </c>
      <c r="I13" s="669">
        <f t="shared" si="3"/>
        <v>27951</v>
      </c>
      <c r="J13" s="669">
        <f t="shared" si="3"/>
        <v>27951</v>
      </c>
      <c r="K13" s="669">
        <f t="shared" si="3"/>
        <v>27951.002687540771</v>
      </c>
      <c r="L13" s="669">
        <f t="shared" si="3"/>
        <v>27951</v>
      </c>
      <c r="M13" s="669">
        <f t="shared" si="3"/>
        <v>27951</v>
      </c>
      <c r="N13" s="669">
        <f t="shared" si="3"/>
        <v>27951</v>
      </c>
      <c r="O13" s="669">
        <f t="shared" si="3"/>
        <v>27966.997221135029</v>
      </c>
      <c r="P13" s="668">
        <f t="shared" si="1"/>
        <v>27930.99999238965</v>
      </c>
      <c r="Q13" s="43"/>
      <c r="R13" s="204"/>
      <c r="S13" s="779"/>
      <c r="T13" s="779"/>
      <c r="U13" s="779"/>
      <c r="V13" s="779"/>
      <c r="W13" s="779"/>
      <c r="X13" s="779"/>
      <c r="Y13" s="779"/>
    </row>
    <row r="14" spans="1:25">
      <c r="A14" s="638">
        <f t="shared" si="0"/>
        <v>9</v>
      </c>
      <c r="B14" s="664" t="s">
        <v>366</v>
      </c>
      <c r="C14" s="640" t="s">
        <v>203</v>
      </c>
      <c r="D14" s="669">
        <v>-72</v>
      </c>
      <c r="E14" s="669">
        <v>-72</v>
      </c>
      <c r="F14" s="669">
        <v>-72</v>
      </c>
      <c r="G14" s="669">
        <v>-72</v>
      </c>
      <c r="H14" s="669">
        <v>-72</v>
      </c>
      <c r="I14" s="669">
        <v>-72</v>
      </c>
      <c r="J14" s="669">
        <v>-72</v>
      </c>
      <c r="K14" s="669">
        <v>-72</v>
      </c>
      <c r="L14" s="669">
        <v>-72</v>
      </c>
      <c r="M14" s="669">
        <v>-72</v>
      </c>
      <c r="N14" s="669">
        <v>-72</v>
      </c>
      <c r="O14" s="669">
        <v>-72</v>
      </c>
      <c r="P14" s="668">
        <f t="shared" si="1"/>
        <v>-72</v>
      </c>
      <c r="Q14" s="43"/>
      <c r="R14" s="203"/>
      <c r="S14" s="779"/>
      <c r="T14" s="779"/>
      <c r="U14" s="779"/>
      <c r="V14" s="779"/>
      <c r="W14" s="779"/>
      <c r="X14" s="779"/>
      <c r="Y14" s="779"/>
    </row>
    <row r="15" spans="1:25">
      <c r="A15" s="638">
        <f t="shared" si="0"/>
        <v>10</v>
      </c>
      <c r="B15" s="666" t="s">
        <v>196</v>
      </c>
      <c r="C15" s="640" t="s">
        <v>195</v>
      </c>
      <c r="D15" s="669">
        <v>-131.7403444381705</v>
      </c>
      <c r="E15" s="669">
        <v>-140.44180124223598</v>
      </c>
      <c r="F15" s="669">
        <v>-137.54151326933939</v>
      </c>
      <c r="G15" s="669">
        <v>-148.1161208356861</v>
      </c>
      <c r="H15" s="669">
        <v>-104.48528514963299</v>
      </c>
      <c r="I15" s="669">
        <v>-105.79229813664595</v>
      </c>
      <c r="J15" s="669">
        <v>-101.46935064935064</v>
      </c>
      <c r="K15" s="669">
        <v>-62.99488424618859</v>
      </c>
      <c r="L15" s="669">
        <v>-98.17963297571994</v>
      </c>
      <c r="M15" s="669">
        <v>-124.88560135516654</v>
      </c>
      <c r="N15" s="669">
        <v>-137.38688311688313</v>
      </c>
      <c r="O15" s="669">
        <v>-146.76214003387915</v>
      </c>
      <c r="P15" s="668">
        <f t="shared" si="1"/>
        <v>-119.98298795407491</v>
      </c>
      <c r="Q15" s="43"/>
      <c r="R15" s="203"/>
      <c r="S15" s="779"/>
      <c r="T15" s="779"/>
      <c r="U15" s="779"/>
      <c r="V15" s="779"/>
      <c r="W15" s="779"/>
      <c r="X15" s="779"/>
      <c r="Y15" s="779"/>
    </row>
    <row r="16" spans="1:25">
      <c r="A16" s="638">
        <f t="shared" si="0"/>
        <v>11</v>
      </c>
      <c r="B16" s="664" t="s">
        <v>305</v>
      </c>
      <c r="C16" s="640"/>
      <c r="D16" s="669"/>
      <c r="E16" s="669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8"/>
      <c r="Q16" s="43"/>
      <c r="R16" s="204"/>
      <c r="S16" s="779"/>
      <c r="T16" s="779"/>
      <c r="U16" s="779"/>
      <c r="V16" s="779"/>
      <c r="W16" s="779"/>
      <c r="X16" s="779"/>
      <c r="Y16" s="779"/>
    </row>
    <row r="17" spans="1:25" ht="16.5" customHeight="1">
      <c r="A17" s="638">
        <f t="shared" si="0"/>
        <v>12</v>
      </c>
      <c r="B17" s="666" t="s">
        <v>198</v>
      </c>
      <c r="C17" s="640" t="s">
        <v>195</v>
      </c>
      <c r="D17" s="669">
        <v>6108.5020271033309</v>
      </c>
      <c r="E17" s="669">
        <v>7344.3390400903418</v>
      </c>
      <c r="F17" s="669">
        <v>8382.6980463015225</v>
      </c>
      <c r="G17" s="669">
        <v>7889.0780575945837</v>
      </c>
      <c r="H17" s="669">
        <v>7613.5550197628436</v>
      </c>
      <c r="I17" s="669">
        <v>7081.1980237154157</v>
      </c>
      <c r="J17" s="669">
        <v>6108.1200225861076</v>
      </c>
      <c r="K17" s="669">
        <v>5791.5630265386799</v>
      </c>
      <c r="L17" s="669">
        <v>6291.777012987016</v>
      </c>
      <c r="M17" s="669">
        <v>6865.913049124787</v>
      </c>
      <c r="N17" s="669">
        <v>6736.2390344438181</v>
      </c>
      <c r="O17" s="669">
        <v>6041.7760474308279</v>
      </c>
      <c r="P17" s="668">
        <f>AVERAGE(D17:O17)</f>
        <v>6854.5632006399401</v>
      </c>
      <c r="Q17" s="43"/>
      <c r="R17" s="203"/>
      <c r="S17" s="779"/>
      <c r="T17" s="779"/>
      <c r="U17" s="779"/>
      <c r="V17" s="779"/>
      <c r="W17" s="779"/>
      <c r="X17" s="779"/>
      <c r="Y17" s="779"/>
    </row>
    <row r="18" spans="1:25" ht="16.5" customHeight="1">
      <c r="A18" s="638">
        <f t="shared" si="0"/>
        <v>13</v>
      </c>
      <c r="B18" s="666" t="s">
        <v>312</v>
      </c>
      <c r="C18" s="640" t="s">
        <v>195</v>
      </c>
      <c r="D18" s="669">
        <f t="shared" ref="D18:O18" si="4">D17+D15</f>
        <v>5976.7616826651602</v>
      </c>
      <c r="E18" s="669">
        <f t="shared" si="4"/>
        <v>7203.8972388481061</v>
      </c>
      <c r="F18" s="669">
        <f t="shared" si="4"/>
        <v>8245.1565330321828</v>
      </c>
      <c r="G18" s="669">
        <f t="shared" si="4"/>
        <v>7740.9619367588975</v>
      </c>
      <c r="H18" s="669">
        <f t="shared" si="4"/>
        <v>7509.069734613211</v>
      </c>
      <c r="I18" s="669">
        <f t="shared" si="4"/>
        <v>6975.4057255787702</v>
      </c>
      <c r="J18" s="669">
        <f t="shared" si="4"/>
        <v>6006.6506719367571</v>
      </c>
      <c r="K18" s="669">
        <f t="shared" si="4"/>
        <v>5728.5681422924908</v>
      </c>
      <c r="L18" s="669">
        <f t="shared" si="4"/>
        <v>6193.5973800112961</v>
      </c>
      <c r="M18" s="669">
        <f t="shared" si="4"/>
        <v>6741.0274477696203</v>
      </c>
      <c r="N18" s="669">
        <f t="shared" si="4"/>
        <v>6598.8521513269352</v>
      </c>
      <c r="O18" s="669">
        <f t="shared" si="4"/>
        <v>5895.0139073969485</v>
      </c>
      <c r="P18" s="668">
        <f>AVERAGE(D18:O18)</f>
        <v>6734.5802126858644</v>
      </c>
      <c r="Q18" s="43"/>
      <c r="R18" s="203"/>
      <c r="S18" s="779"/>
      <c r="T18" s="779"/>
      <c r="U18" s="779"/>
      <c r="V18" s="779"/>
      <c r="W18" s="779"/>
      <c r="X18" s="779"/>
      <c r="Y18" s="779"/>
    </row>
    <row r="19" spans="1:25">
      <c r="A19" s="638">
        <f t="shared" si="0"/>
        <v>14</v>
      </c>
      <c r="B19" s="666" t="s">
        <v>188</v>
      </c>
      <c r="C19" s="640" t="s">
        <v>194</v>
      </c>
      <c r="D19" s="669"/>
      <c r="E19" s="669"/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8">
        <f>MAX(D18:O18)</f>
        <v>8245.1565330321828</v>
      </c>
      <c r="Q19" s="43"/>
      <c r="R19" s="204"/>
      <c r="S19" s="779"/>
      <c r="T19" s="779"/>
      <c r="U19" s="779"/>
      <c r="V19" s="779"/>
      <c r="W19" s="779"/>
      <c r="X19" s="779"/>
      <c r="Y19" s="779"/>
    </row>
    <row r="20" spans="1:25">
      <c r="A20" s="638">
        <f t="shared" si="0"/>
        <v>15</v>
      </c>
      <c r="B20" s="664" t="s">
        <v>306</v>
      </c>
      <c r="C20" s="640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8"/>
      <c r="Q20" s="43"/>
      <c r="R20" s="204"/>
      <c r="S20" s="779"/>
      <c r="T20" s="779"/>
      <c r="U20" s="779"/>
      <c r="V20" s="779"/>
      <c r="W20" s="779"/>
      <c r="X20" s="779"/>
      <c r="Y20" s="779"/>
    </row>
    <row r="21" spans="1:25">
      <c r="A21" s="638">
        <f t="shared" si="0"/>
        <v>16</v>
      </c>
      <c r="B21" s="666" t="s">
        <v>198</v>
      </c>
      <c r="C21" s="640" t="s">
        <v>332</v>
      </c>
      <c r="D21" s="669">
        <v>7692.99</v>
      </c>
      <c r="E21" s="669">
        <v>8752.0400000000009</v>
      </c>
      <c r="F21" s="669">
        <v>9756.02</v>
      </c>
      <c r="G21" s="669">
        <v>9758.02</v>
      </c>
      <c r="H21" s="669">
        <v>9277.24</v>
      </c>
      <c r="I21" s="669">
        <v>8710.89</v>
      </c>
      <c r="J21" s="669">
        <v>8141.95</v>
      </c>
      <c r="K21" s="669">
        <v>7532.81</v>
      </c>
      <c r="L21" s="669">
        <v>7597.82</v>
      </c>
      <c r="M21" s="669">
        <v>8163.89</v>
      </c>
      <c r="N21" s="669">
        <v>8076.4</v>
      </c>
      <c r="O21" s="669">
        <v>7427.26</v>
      </c>
      <c r="P21" s="668">
        <f>AVERAGE(D21:O21)</f>
        <v>8407.2774999999983</v>
      </c>
      <c r="Q21" s="43"/>
      <c r="R21" s="203"/>
      <c r="S21" s="779"/>
      <c r="T21" s="779"/>
      <c r="U21" s="779"/>
      <c r="V21" s="779"/>
      <c r="W21" s="779"/>
      <c r="X21" s="779"/>
      <c r="Y21" s="779"/>
    </row>
    <row r="22" spans="1:25">
      <c r="A22" s="638">
        <f t="shared" si="0"/>
        <v>17</v>
      </c>
      <c r="B22" s="666" t="s">
        <v>312</v>
      </c>
      <c r="C22" s="640" t="s">
        <v>332</v>
      </c>
      <c r="D22" s="669">
        <f t="shared" ref="D22:O22" si="5">D21+D15</f>
        <v>7561.2496555618291</v>
      </c>
      <c r="E22" s="669">
        <f t="shared" si="5"/>
        <v>8611.5981987577652</v>
      </c>
      <c r="F22" s="669">
        <f t="shared" si="5"/>
        <v>9618.4784867306607</v>
      </c>
      <c r="G22" s="669">
        <f t="shared" si="5"/>
        <v>9609.9038791643143</v>
      </c>
      <c r="H22" s="669">
        <f t="shared" si="5"/>
        <v>9172.7547148503672</v>
      </c>
      <c r="I22" s="669">
        <f t="shared" si="5"/>
        <v>8605.097701863353</v>
      </c>
      <c r="J22" s="669">
        <f t="shared" si="5"/>
        <v>8040.4806493506494</v>
      </c>
      <c r="K22" s="669">
        <f t="shared" si="5"/>
        <v>7469.8151157538114</v>
      </c>
      <c r="L22" s="669">
        <f t="shared" si="5"/>
        <v>7499.6403670242798</v>
      </c>
      <c r="M22" s="669">
        <f t="shared" si="5"/>
        <v>8039.0043986448336</v>
      </c>
      <c r="N22" s="669">
        <f t="shared" si="5"/>
        <v>7939.0131168831167</v>
      </c>
      <c r="O22" s="669">
        <f t="shared" si="5"/>
        <v>7280.4978599661208</v>
      </c>
      <c r="P22" s="668">
        <f>AVERAGE(D22:O22)</f>
        <v>8287.2945120459244</v>
      </c>
      <c r="Q22" s="82"/>
      <c r="R22" s="204"/>
      <c r="S22" s="779"/>
      <c r="T22" s="779"/>
      <c r="U22" s="779"/>
      <c r="V22" s="779"/>
      <c r="W22" s="779"/>
      <c r="X22" s="779"/>
      <c r="Y22" s="779"/>
    </row>
    <row r="23" spans="1:25">
      <c r="A23" s="638">
        <f t="shared" si="0"/>
        <v>18</v>
      </c>
      <c r="B23" s="666" t="s">
        <v>188</v>
      </c>
      <c r="C23" s="640" t="s">
        <v>333</v>
      </c>
      <c r="D23" s="669"/>
      <c r="E23" s="669"/>
      <c r="F23" s="669"/>
      <c r="G23" s="669"/>
      <c r="H23" s="669"/>
      <c r="I23" s="669"/>
      <c r="J23" s="669"/>
      <c r="K23" s="669"/>
      <c r="L23" s="669"/>
      <c r="M23" s="669"/>
      <c r="N23" s="669"/>
      <c r="O23" s="669"/>
      <c r="P23" s="668">
        <f>MAX(D22:O22)</f>
        <v>9618.4784867306607</v>
      </c>
      <c r="Q23" s="43"/>
      <c r="R23" s="204"/>
      <c r="S23" s="779"/>
      <c r="T23" s="779"/>
      <c r="U23" s="779"/>
      <c r="V23" s="779"/>
      <c r="W23" s="779"/>
      <c r="X23" s="779"/>
      <c r="Y23" s="779"/>
    </row>
    <row r="24" spans="1:25" ht="16.5" customHeight="1">
      <c r="A24" s="638">
        <f t="shared" si="0"/>
        <v>19</v>
      </c>
      <c r="B24" s="653" t="str">
        <f>CONCATENATE("Subtotal of "&amp;B7)</f>
        <v>Subtotal of FY 2022</v>
      </c>
      <c r="C24" s="640"/>
      <c r="D24" s="670">
        <f>SUM(D8,D9,D12,D17)</f>
        <v>33729.57862324598</v>
      </c>
      <c r="E24" s="670">
        <f t="shared" ref="E24:P24" si="6">SUM(E8,E9,E12,E17)</f>
        <v>34965.415636232989</v>
      </c>
      <c r="F24" s="670">
        <f t="shared" si="6"/>
        <v>35921.774642444172</v>
      </c>
      <c r="G24" s="670">
        <f t="shared" si="6"/>
        <v>35568.266649823338</v>
      </c>
      <c r="H24" s="670">
        <f t="shared" si="6"/>
        <v>35292.743611991595</v>
      </c>
      <c r="I24" s="670">
        <f t="shared" si="6"/>
        <v>34760.386615944168</v>
      </c>
      <c r="J24" s="670">
        <f t="shared" si="6"/>
        <v>33787.308614814865</v>
      </c>
      <c r="K24" s="670">
        <f t="shared" si="6"/>
        <v>33470.754306308205</v>
      </c>
      <c r="L24" s="670">
        <f t="shared" si="6"/>
        <v>33970.965605215773</v>
      </c>
      <c r="M24" s="670">
        <f t="shared" si="6"/>
        <v>34545.10164135354</v>
      </c>
      <c r="N24" s="670">
        <f t="shared" si="6"/>
        <v>34415.427626672572</v>
      </c>
      <c r="O24" s="670">
        <f t="shared" si="6"/>
        <v>33736.96186079461</v>
      </c>
      <c r="P24" s="670">
        <f t="shared" si="6"/>
        <v>34513.723786236813</v>
      </c>
      <c r="Q24" s="43"/>
      <c r="R24" s="204"/>
      <c r="S24" s="779"/>
      <c r="T24" s="779"/>
      <c r="U24" s="779"/>
      <c r="V24" s="779"/>
      <c r="W24" s="779"/>
      <c r="X24" s="779"/>
      <c r="Y24" s="779"/>
    </row>
    <row r="25" spans="1:25" ht="18.75" customHeight="1">
      <c r="A25" s="638">
        <f t="shared" si="0"/>
        <v>20</v>
      </c>
      <c r="B25" s="648" t="str">
        <f>+CONCATENATE("FY "&amp;Input!$A$5)</f>
        <v>FY 2023</v>
      </c>
      <c r="C25" s="640"/>
      <c r="D25" s="661"/>
      <c r="E25" s="661"/>
      <c r="F25" s="661"/>
      <c r="G25" s="661"/>
      <c r="H25" s="661"/>
      <c r="I25" s="662"/>
      <c r="J25" s="647"/>
      <c r="K25" s="647"/>
      <c r="L25" s="647"/>
      <c r="M25" s="647"/>
      <c r="N25" s="647"/>
      <c r="O25" s="647"/>
      <c r="P25" s="663"/>
      <c r="Q25" s="43"/>
      <c r="R25" s="204"/>
      <c r="S25" s="779"/>
      <c r="T25" s="779"/>
      <c r="U25" s="779"/>
      <c r="V25" s="779"/>
      <c r="W25" s="779"/>
      <c r="X25" s="779"/>
      <c r="Y25" s="779"/>
    </row>
    <row r="26" spans="1:25">
      <c r="A26" s="638">
        <f t="shared" si="0"/>
        <v>21</v>
      </c>
      <c r="B26" s="664" t="s">
        <v>376</v>
      </c>
      <c r="C26" s="640" t="s">
        <v>203</v>
      </c>
      <c r="D26" s="665">
        <v>2.273732476635514</v>
      </c>
      <c r="E26" s="665">
        <v>2.273732476635514</v>
      </c>
      <c r="F26" s="665">
        <v>2.273732476635514</v>
      </c>
      <c r="G26" s="665">
        <v>2.273732476635514</v>
      </c>
      <c r="H26" s="665">
        <v>2.273732476635514</v>
      </c>
      <c r="I26" s="665">
        <v>2.273732476635514</v>
      </c>
      <c r="J26" s="665">
        <v>2.273732476635514</v>
      </c>
      <c r="K26" s="665">
        <v>2.273732476635514</v>
      </c>
      <c r="L26" s="665">
        <v>2.273732476635514</v>
      </c>
      <c r="M26" s="665">
        <v>2.273732476635514</v>
      </c>
      <c r="N26" s="665">
        <v>2.273732476635514</v>
      </c>
      <c r="O26" s="665">
        <v>2.273732476635514</v>
      </c>
      <c r="P26" s="650">
        <f t="shared" ref="P26:P32" si="7">AVERAGE(D26:O26)</f>
        <v>2.2737324766355145</v>
      </c>
      <c r="Q26" s="43"/>
      <c r="R26" s="203"/>
      <c r="S26" s="779"/>
      <c r="T26" s="779"/>
      <c r="U26" s="779"/>
      <c r="V26" s="779"/>
      <c r="W26" s="779"/>
      <c r="X26" s="779"/>
      <c r="Y26" s="779"/>
    </row>
    <row r="27" spans="1:25">
      <c r="A27" s="638">
        <f t="shared" si="0"/>
        <v>22</v>
      </c>
      <c r="B27" s="664" t="s">
        <v>377</v>
      </c>
      <c r="C27" s="640"/>
      <c r="D27" s="665">
        <v>0</v>
      </c>
      <c r="E27" s="665">
        <v>0</v>
      </c>
      <c r="F27" s="665">
        <v>0</v>
      </c>
      <c r="G27" s="665">
        <v>0</v>
      </c>
      <c r="H27" s="665">
        <v>0</v>
      </c>
      <c r="I27" s="665">
        <v>0</v>
      </c>
      <c r="J27" s="665">
        <v>0</v>
      </c>
      <c r="K27" s="665">
        <v>0</v>
      </c>
      <c r="L27" s="665">
        <v>0</v>
      </c>
      <c r="M27" s="665">
        <v>0</v>
      </c>
      <c r="N27" s="665">
        <v>0</v>
      </c>
      <c r="O27" s="665">
        <v>0</v>
      </c>
      <c r="P27" s="650">
        <f t="shared" si="7"/>
        <v>0</v>
      </c>
      <c r="Q27" s="43"/>
      <c r="R27" s="203"/>
      <c r="S27" s="779"/>
      <c r="T27" s="779"/>
      <c r="U27" s="779"/>
      <c r="V27" s="779"/>
      <c r="W27" s="779"/>
      <c r="X27" s="779"/>
      <c r="Y27" s="779"/>
    </row>
    <row r="28" spans="1:25">
      <c r="A28" s="638">
        <f t="shared" si="0"/>
        <v>23</v>
      </c>
      <c r="B28" s="666" t="s">
        <v>373</v>
      </c>
      <c r="C28" s="640" t="s">
        <v>203</v>
      </c>
      <c r="D28" s="665">
        <v>27862</v>
      </c>
      <c r="E28" s="665">
        <v>27802</v>
      </c>
      <c r="F28" s="665">
        <v>27852</v>
      </c>
      <c r="G28" s="665">
        <v>27827</v>
      </c>
      <c r="H28" s="665">
        <v>27827</v>
      </c>
      <c r="I28" s="665">
        <v>27987</v>
      </c>
      <c r="J28" s="665">
        <v>27987</v>
      </c>
      <c r="K28" s="665">
        <v>27985</v>
      </c>
      <c r="L28" s="665">
        <v>27985</v>
      </c>
      <c r="M28" s="665">
        <v>27970</v>
      </c>
      <c r="N28" s="665">
        <v>27970</v>
      </c>
      <c r="O28" s="665">
        <v>27970</v>
      </c>
      <c r="P28" s="650">
        <f t="shared" si="7"/>
        <v>27918.666666666668</v>
      </c>
      <c r="Q28" s="43"/>
      <c r="R28" s="203"/>
      <c r="S28" s="779"/>
      <c r="T28" s="779"/>
      <c r="U28" s="779"/>
      <c r="V28" s="779"/>
      <c r="W28" s="779"/>
      <c r="X28" s="779"/>
      <c r="Y28" s="779"/>
    </row>
    <row r="29" spans="1:25">
      <c r="A29" s="638">
        <f t="shared" si="0"/>
        <v>24</v>
      </c>
      <c r="B29" s="666" t="s">
        <v>116</v>
      </c>
      <c r="C29" s="640" t="s">
        <v>203</v>
      </c>
      <c r="D29" s="669">
        <v>-274.08514024788002</v>
      </c>
      <c r="E29" s="669">
        <v>-274.08514024788002</v>
      </c>
      <c r="F29" s="669">
        <v>-274.08514024788002</v>
      </c>
      <c r="G29" s="669">
        <v>-274.08514024788002</v>
      </c>
      <c r="H29" s="669">
        <v>-274.08514024788002</v>
      </c>
      <c r="I29" s="669">
        <v>-274.08514024788002</v>
      </c>
      <c r="J29" s="669">
        <v>-274.08514024788002</v>
      </c>
      <c r="K29" s="669">
        <v>-274.08514024788002</v>
      </c>
      <c r="L29" s="669">
        <v>-274.08514024788002</v>
      </c>
      <c r="M29" s="669">
        <v>-274.08514024788002</v>
      </c>
      <c r="N29" s="669">
        <v>-274.08514024788002</v>
      </c>
      <c r="O29" s="669">
        <v>-274.08514024788002</v>
      </c>
      <c r="P29" s="668">
        <f t="shared" si="7"/>
        <v>-274.08514024788008</v>
      </c>
      <c r="Q29" s="43"/>
      <c r="R29" s="203"/>
      <c r="S29" s="779"/>
      <c r="T29" s="779"/>
      <c r="U29" s="779"/>
      <c r="V29" s="779"/>
      <c r="W29" s="779"/>
      <c r="X29" s="779"/>
      <c r="Y29" s="779"/>
    </row>
    <row r="30" spans="1:25">
      <c r="A30" s="638">
        <f t="shared" si="0"/>
        <v>25</v>
      </c>
      <c r="B30" s="664" t="s">
        <v>90</v>
      </c>
      <c r="C30" s="640" t="s">
        <v>203</v>
      </c>
      <c r="D30" s="669">
        <f>SUM(D28:D29)</f>
        <v>27587.91485975212</v>
      </c>
      <c r="E30" s="669">
        <f t="shared" ref="E30:O30" si="8">SUM(E28:E29)</f>
        <v>27527.91485975212</v>
      </c>
      <c r="F30" s="669">
        <f t="shared" si="8"/>
        <v>27577.91485975212</v>
      </c>
      <c r="G30" s="669">
        <f t="shared" si="8"/>
        <v>27552.91485975212</v>
      </c>
      <c r="H30" s="669">
        <f t="shared" si="8"/>
        <v>27552.91485975212</v>
      </c>
      <c r="I30" s="669">
        <f t="shared" si="8"/>
        <v>27712.91485975212</v>
      </c>
      <c r="J30" s="669">
        <f t="shared" si="8"/>
        <v>27712.91485975212</v>
      </c>
      <c r="K30" s="669">
        <f t="shared" si="8"/>
        <v>27710.91485975212</v>
      </c>
      <c r="L30" s="669">
        <f t="shared" si="8"/>
        <v>27710.91485975212</v>
      </c>
      <c r="M30" s="669">
        <f t="shared" si="8"/>
        <v>27695.91485975212</v>
      </c>
      <c r="N30" s="669">
        <f t="shared" si="8"/>
        <v>27695.91485975212</v>
      </c>
      <c r="O30" s="669">
        <f t="shared" si="8"/>
        <v>27695.91485975212</v>
      </c>
      <c r="P30" s="668">
        <f t="shared" si="7"/>
        <v>27644.581526418784</v>
      </c>
      <c r="Q30" s="43"/>
      <c r="R30" s="204"/>
      <c r="S30" s="779"/>
      <c r="T30" s="779"/>
      <c r="U30" s="779"/>
      <c r="V30" s="779"/>
      <c r="W30" s="779"/>
      <c r="X30" s="779"/>
      <c r="Y30" s="779"/>
    </row>
    <row r="31" spans="1:25">
      <c r="A31" s="638">
        <f t="shared" si="0"/>
        <v>26</v>
      </c>
      <c r="B31" s="664" t="s">
        <v>193</v>
      </c>
      <c r="C31" s="640" t="s">
        <v>203</v>
      </c>
      <c r="D31" s="669">
        <f>D28</f>
        <v>27862</v>
      </c>
      <c r="E31" s="669">
        <f t="shared" ref="E31:O31" si="9">E28</f>
        <v>27802</v>
      </c>
      <c r="F31" s="669">
        <f t="shared" si="9"/>
        <v>27852</v>
      </c>
      <c r="G31" s="669">
        <f t="shared" si="9"/>
        <v>27827</v>
      </c>
      <c r="H31" s="669">
        <f t="shared" si="9"/>
        <v>27827</v>
      </c>
      <c r="I31" s="669">
        <f t="shared" si="9"/>
        <v>27987</v>
      </c>
      <c r="J31" s="669">
        <f t="shared" si="9"/>
        <v>27987</v>
      </c>
      <c r="K31" s="669">
        <f t="shared" si="9"/>
        <v>27985</v>
      </c>
      <c r="L31" s="669">
        <f t="shared" si="9"/>
        <v>27985</v>
      </c>
      <c r="M31" s="669">
        <f t="shared" si="9"/>
        <v>27970</v>
      </c>
      <c r="N31" s="669">
        <f t="shared" si="9"/>
        <v>27970</v>
      </c>
      <c r="O31" s="669">
        <f t="shared" si="9"/>
        <v>27970</v>
      </c>
      <c r="P31" s="668">
        <f t="shared" si="7"/>
        <v>27918.666666666668</v>
      </c>
      <c r="Q31" s="43"/>
      <c r="R31" s="204"/>
      <c r="S31" s="779"/>
      <c r="T31" s="779"/>
      <c r="U31" s="779"/>
      <c r="V31" s="779"/>
      <c r="W31" s="779"/>
      <c r="X31" s="779"/>
      <c r="Y31" s="779"/>
    </row>
    <row r="32" spans="1:25">
      <c r="A32" s="638">
        <f t="shared" si="0"/>
        <v>27</v>
      </c>
      <c r="B32" s="664" t="s">
        <v>366</v>
      </c>
      <c r="C32" s="640" t="s">
        <v>203</v>
      </c>
      <c r="D32" s="669">
        <v>-72</v>
      </c>
      <c r="E32" s="669">
        <v>-72</v>
      </c>
      <c r="F32" s="669">
        <v>-72</v>
      </c>
      <c r="G32" s="669">
        <v>-72</v>
      </c>
      <c r="H32" s="669">
        <v>-72</v>
      </c>
      <c r="I32" s="669">
        <v>-72</v>
      </c>
      <c r="J32" s="669">
        <v>-72</v>
      </c>
      <c r="K32" s="669">
        <v>-72</v>
      </c>
      <c r="L32" s="669">
        <v>-72</v>
      </c>
      <c r="M32" s="669">
        <v>-72</v>
      </c>
      <c r="N32" s="669">
        <v>-72</v>
      </c>
      <c r="O32" s="669">
        <v>-72</v>
      </c>
      <c r="P32" s="668">
        <f t="shared" si="7"/>
        <v>-72</v>
      </c>
      <c r="Q32" s="43"/>
      <c r="R32" s="17"/>
    </row>
    <row r="33" spans="1:18">
      <c r="A33" s="638">
        <f t="shared" si="0"/>
        <v>28</v>
      </c>
      <c r="B33" s="666" t="s">
        <v>196</v>
      </c>
      <c r="C33" s="640" t="s">
        <v>195</v>
      </c>
      <c r="D33" s="669">
        <v>-131.7403444381705</v>
      </c>
      <c r="E33" s="669">
        <v>-140.44180124223598</v>
      </c>
      <c r="F33" s="669">
        <v>-137.54151326933939</v>
      </c>
      <c r="G33" s="669">
        <v>-148.1161208356861</v>
      </c>
      <c r="H33" s="669">
        <v>-104.48528514963299</v>
      </c>
      <c r="I33" s="669">
        <v>-105.79229813664595</v>
      </c>
      <c r="J33" s="669">
        <v>-101.46935064935064</v>
      </c>
      <c r="K33" s="669">
        <v>-62.99488424618859</v>
      </c>
      <c r="L33" s="669">
        <v>-98.17963297571994</v>
      </c>
      <c r="M33" s="669">
        <v>-124.88560135516654</v>
      </c>
      <c r="N33" s="669">
        <v>-137.38688311688313</v>
      </c>
      <c r="O33" s="669">
        <v>-146.76214003387915</v>
      </c>
      <c r="P33" s="668">
        <f>AVERAGE(D33:O33)</f>
        <v>-119.98298795407491</v>
      </c>
      <c r="Q33" s="43"/>
      <c r="R33" s="17"/>
    </row>
    <row r="34" spans="1:18">
      <c r="A34" s="638">
        <f t="shared" si="0"/>
        <v>29</v>
      </c>
      <c r="B34" s="664" t="s">
        <v>305</v>
      </c>
      <c r="C34" s="640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669"/>
      <c r="P34" s="668"/>
      <c r="Q34" s="43"/>
      <c r="R34" s="43"/>
    </row>
    <row r="35" spans="1:18" ht="16.5" customHeight="1">
      <c r="A35" s="638">
        <f t="shared" si="0"/>
        <v>30</v>
      </c>
      <c r="B35" s="666" t="s">
        <v>198</v>
      </c>
      <c r="C35" s="640" t="s">
        <v>195</v>
      </c>
      <c r="D35" s="669">
        <v>6213.0140316205552</v>
      </c>
      <c r="E35" s="669">
        <v>7453.4780293619397</v>
      </c>
      <c r="F35" s="669">
        <v>8504.510045172221</v>
      </c>
      <c r="G35" s="669">
        <v>7977.5640316205536</v>
      </c>
      <c r="H35" s="669">
        <v>7738.3719988706971</v>
      </c>
      <c r="I35" s="669">
        <v>7216.4740316205507</v>
      </c>
      <c r="J35" s="669">
        <v>6210.6910389610375</v>
      </c>
      <c r="K35" s="669">
        <v>5915.4180067758334</v>
      </c>
      <c r="L35" s="669">
        <v>6413.0680350084713</v>
      </c>
      <c r="M35" s="669">
        <v>6994.259068322981</v>
      </c>
      <c r="N35" s="669">
        <v>6854.2750141163197</v>
      </c>
      <c r="O35" s="669">
        <v>6163.864025974025</v>
      </c>
      <c r="P35" s="668">
        <f>AVERAGE(D35:O35)</f>
        <v>6971.2489464520977</v>
      </c>
      <c r="Q35" s="43"/>
      <c r="R35" s="17"/>
    </row>
    <row r="36" spans="1:18" ht="16.5" customHeight="1">
      <c r="A36" s="638">
        <f t="shared" si="0"/>
        <v>31</v>
      </c>
      <c r="B36" s="666" t="s">
        <v>312</v>
      </c>
      <c r="C36" s="640" t="s">
        <v>195</v>
      </c>
      <c r="D36" s="669">
        <f t="shared" ref="D36:O36" si="10">D35+D33</f>
        <v>6081.2736871823845</v>
      </c>
      <c r="E36" s="669">
        <f t="shared" si="10"/>
        <v>7313.036228119704</v>
      </c>
      <c r="F36" s="669">
        <f t="shared" si="10"/>
        <v>8366.9685319028813</v>
      </c>
      <c r="G36" s="669">
        <f t="shared" si="10"/>
        <v>7829.4479107848674</v>
      </c>
      <c r="H36" s="669">
        <f t="shared" si="10"/>
        <v>7633.8867137210646</v>
      </c>
      <c r="I36" s="669">
        <f t="shared" si="10"/>
        <v>7110.6817334839052</v>
      </c>
      <c r="J36" s="669">
        <f t="shared" si="10"/>
        <v>6109.2216883116871</v>
      </c>
      <c r="K36" s="669">
        <f t="shared" si="10"/>
        <v>5852.4231225296444</v>
      </c>
      <c r="L36" s="669">
        <f t="shared" si="10"/>
        <v>6314.8884020327514</v>
      </c>
      <c r="M36" s="669">
        <f t="shared" si="10"/>
        <v>6869.3734669678142</v>
      </c>
      <c r="N36" s="669">
        <f t="shared" si="10"/>
        <v>6716.8881309994367</v>
      </c>
      <c r="O36" s="669">
        <f t="shared" si="10"/>
        <v>6017.1018859401456</v>
      </c>
      <c r="P36" s="668">
        <f>AVERAGE(D36:O36)</f>
        <v>6851.2659584980238</v>
      </c>
      <c r="Q36" s="43"/>
      <c r="R36" s="17"/>
    </row>
    <row r="37" spans="1:18">
      <c r="A37" s="638">
        <f t="shared" si="0"/>
        <v>32</v>
      </c>
      <c r="B37" s="666" t="s">
        <v>188</v>
      </c>
      <c r="C37" s="640" t="s">
        <v>194</v>
      </c>
      <c r="D37" s="669"/>
      <c r="E37" s="669"/>
      <c r="F37" s="669"/>
      <c r="G37" s="669"/>
      <c r="H37" s="669"/>
      <c r="I37" s="669"/>
      <c r="J37" s="669"/>
      <c r="K37" s="669"/>
      <c r="L37" s="669"/>
      <c r="M37" s="669"/>
      <c r="N37" s="669"/>
      <c r="O37" s="669"/>
      <c r="P37" s="668">
        <f>MAX(D36:O36)</f>
        <v>8366.9685319028813</v>
      </c>
      <c r="Q37" s="43"/>
      <c r="R37" s="43"/>
    </row>
    <row r="38" spans="1:18">
      <c r="A38" s="638">
        <f t="shared" si="0"/>
        <v>33</v>
      </c>
      <c r="B38" s="664" t="s">
        <v>306</v>
      </c>
      <c r="C38" s="640"/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N38" s="669"/>
      <c r="O38" s="669"/>
      <c r="P38" s="668"/>
      <c r="Q38" s="43"/>
      <c r="R38" s="43"/>
    </row>
    <row r="39" spans="1:18" ht="15.75" customHeight="1">
      <c r="A39" s="638">
        <f t="shared" si="0"/>
        <v>34</v>
      </c>
      <c r="B39" s="666" t="s">
        <v>198</v>
      </c>
      <c r="C39" s="640" t="s">
        <v>332</v>
      </c>
      <c r="D39" s="669">
        <v>7846.4</v>
      </c>
      <c r="E39" s="669">
        <v>8924.8799999999992</v>
      </c>
      <c r="F39" s="669">
        <v>9920.3700000000008</v>
      </c>
      <c r="G39" s="669">
        <v>9926.4699999999993</v>
      </c>
      <c r="H39" s="669">
        <v>9453.77</v>
      </c>
      <c r="I39" s="669">
        <v>8900.08</v>
      </c>
      <c r="J39" s="669">
        <v>8327.1200000000008</v>
      </c>
      <c r="K39" s="669">
        <v>7708.76</v>
      </c>
      <c r="L39" s="669">
        <v>7771.96</v>
      </c>
      <c r="M39" s="669">
        <v>8354.32</v>
      </c>
      <c r="N39" s="669">
        <v>8253.1200000000008</v>
      </c>
      <c r="O39" s="669">
        <v>7606.13</v>
      </c>
      <c r="P39" s="668">
        <f>AVERAGE(D39:O39)</f>
        <v>8582.7816666666677</v>
      </c>
      <c r="Q39" s="43"/>
      <c r="R39" s="17"/>
    </row>
    <row r="40" spans="1:18">
      <c r="A40" s="638">
        <f t="shared" si="0"/>
        <v>35</v>
      </c>
      <c r="B40" s="666" t="s">
        <v>312</v>
      </c>
      <c r="C40" s="640" t="s">
        <v>332</v>
      </c>
      <c r="D40" s="669">
        <f t="shared" ref="D40:O40" si="11">D39+D33</f>
        <v>7714.6596555618289</v>
      </c>
      <c r="E40" s="669">
        <f t="shared" si="11"/>
        <v>8784.4381987577635</v>
      </c>
      <c r="F40" s="669">
        <f t="shared" si="11"/>
        <v>9782.8284867306611</v>
      </c>
      <c r="G40" s="669">
        <f t="shared" si="11"/>
        <v>9778.3538791643132</v>
      </c>
      <c r="H40" s="669">
        <f t="shared" si="11"/>
        <v>9349.2847148503679</v>
      </c>
      <c r="I40" s="669">
        <f t="shared" si="11"/>
        <v>8794.2877018633535</v>
      </c>
      <c r="J40" s="669">
        <f t="shared" si="11"/>
        <v>8225.6506493506495</v>
      </c>
      <c r="K40" s="669">
        <f t="shared" si="11"/>
        <v>7645.7651157538112</v>
      </c>
      <c r="L40" s="669">
        <f t="shared" si="11"/>
        <v>7673.7803670242802</v>
      </c>
      <c r="M40" s="669">
        <f t="shared" si="11"/>
        <v>8229.434398644833</v>
      </c>
      <c r="N40" s="669">
        <f t="shared" si="11"/>
        <v>8115.7331168831179</v>
      </c>
      <c r="O40" s="669">
        <f t="shared" si="11"/>
        <v>7459.3678599661207</v>
      </c>
      <c r="P40" s="668">
        <f>AVERAGE(D40:O40)</f>
        <v>8462.7986787125919</v>
      </c>
      <c r="Q40" s="82"/>
      <c r="R40" s="17"/>
    </row>
    <row r="41" spans="1:18" ht="15.75" customHeight="1">
      <c r="A41" s="638">
        <f t="shared" si="0"/>
        <v>36</v>
      </c>
      <c r="B41" s="666" t="s">
        <v>188</v>
      </c>
      <c r="C41" s="640" t="s">
        <v>333</v>
      </c>
      <c r="D41" s="669"/>
      <c r="E41" s="669"/>
      <c r="F41" s="669"/>
      <c r="G41" s="669"/>
      <c r="H41" s="669"/>
      <c r="I41" s="669"/>
      <c r="J41" s="669"/>
      <c r="K41" s="669"/>
      <c r="L41" s="669"/>
      <c r="M41" s="669"/>
      <c r="N41" s="669"/>
      <c r="O41" s="669"/>
      <c r="P41" s="668">
        <f>MAX(D40:O40)</f>
        <v>9782.8284867306611</v>
      </c>
      <c r="Q41" s="43"/>
      <c r="R41" s="43"/>
    </row>
    <row r="42" spans="1:18" ht="16.5" customHeight="1">
      <c r="A42" s="638">
        <f t="shared" si="0"/>
        <v>37</v>
      </c>
      <c r="B42" s="653" t="str">
        <f>CONCATENATE("Subtotal of "&amp;B25)</f>
        <v>Subtotal of FY 2023</v>
      </c>
      <c r="C42" s="640"/>
      <c r="D42" s="670">
        <f>SUM(D26,D27,D30,D35)</f>
        <v>33803.202623849313</v>
      </c>
      <c r="E42" s="670">
        <f t="shared" ref="E42:P42" si="12">SUM(E26,E27,E30,E35)</f>
        <v>34983.666621590695</v>
      </c>
      <c r="F42" s="670">
        <f t="shared" si="12"/>
        <v>36084.698637400972</v>
      </c>
      <c r="G42" s="670">
        <f t="shared" si="12"/>
        <v>35532.752623849308</v>
      </c>
      <c r="H42" s="670">
        <f t="shared" si="12"/>
        <v>35293.560591099449</v>
      </c>
      <c r="I42" s="670">
        <f t="shared" si="12"/>
        <v>34931.662623849305</v>
      </c>
      <c r="J42" s="670">
        <f t="shared" si="12"/>
        <v>33925.87963118979</v>
      </c>
      <c r="K42" s="670">
        <f t="shared" si="12"/>
        <v>33628.60659900459</v>
      </c>
      <c r="L42" s="670">
        <f t="shared" si="12"/>
        <v>34126.256627237228</v>
      </c>
      <c r="M42" s="670">
        <f t="shared" si="12"/>
        <v>34692.447660551734</v>
      </c>
      <c r="N42" s="670">
        <f t="shared" si="12"/>
        <v>34552.463606345074</v>
      </c>
      <c r="O42" s="670">
        <f t="shared" si="12"/>
        <v>33862.052618202782</v>
      </c>
      <c r="P42" s="670">
        <f t="shared" si="12"/>
        <v>34618.104205347518</v>
      </c>
      <c r="Q42" s="43"/>
      <c r="R42" s="43"/>
    </row>
    <row r="43" spans="1:18" ht="18" customHeight="1">
      <c r="A43" s="638">
        <f t="shared" si="0"/>
        <v>38</v>
      </c>
      <c r="B43" s="648" t="s">
        <v>142</v>
      </c>
      <c r="C43" s="640"/>
      <c r="D43" s="661"/>
      <c r="E43" s="661"/>
      <c r="F43" s="661"/>
      <c r="G43" s="661"/>
      <c r="H43" s="661"/>
      <c r="I43" s="662"/>
      <c r="J43" s="647"/>
      <c r="K43" s="647"/>
      <c r="L43" s="647"/>
      <c r="M43" s="647"/>
      <c r="N43" s="647"/>
      <c r="O43" s="647"/>
      <c r="P43" s="663"/>
      <c r="Q43" s="43"/>
      <c r="R43" s="43"/>
    </row>
    <row r="44" spans="1:18" ht="15.75" customHeight="1">
      <c r="A44" s="638">
        <f t="shared" si="0"/>
        <v>39</v>
      </c>
      <c r="B44" s="664" t="s">
        <v>376</v>
      </c>
      <c r="C44" s="640" t="s">
        <v>203</v>
      </c>
      <c r="D44" s="665">
        <f t="shared" ref="D44:P44" si="13">AVERAGE(D8,D26)</f>
        <v>2.273732476635514</v>
      </c>
      <c r="E44" s="665">
        <f t="shared" si="13"/>
        <v>2.273732476635514</v>
      </c>
      <c r="F44" s="665">
        <f t="shared" si="13"/>
        <v>2.273732476635514</v>
      </c>
      <c r="G44" s="665">
        <f t="shared" si="13"/>
        <v>2.273732476635514</v>
      </c>
      <c r="H44" s="665">
        <f t="shared" si="13"/>
        <v>2.273732476635514</v>
      </c>
      <c r="I44" s="665">
        <f t="shared" si="13"/>
        <v>2.273732476635514</v>
      </c>
      <c r="J44" s="665">
        <f t="shared" si="13"/>
        <v>2.273732476635514</v>
      </c>
      <c r="K44" s="665">
        <f t="shared" si="13"/>
        <v>2.273732476635514</v>
      </c>
      <c r="L44" s="665">
        <f t="shared" si="13"/>
        <v>2.273732476635514</v>
      </c>
      <c r="M44" s="665">
        <f t="shared" si="13"/>
        <v>2.273732476635514</v>
      </c>
      <c r="N44" s="665">
        <f t="shared" si="13"/>
        <v>2.273732476635514</v>
      </c>
      <c r="O44" s="665">
        <f t="shared" si="13"/>
        <v>2.273732476635514</v>
      </c>
      <c r="P44" s="650">
        <f t="shared" si="13"/>
        <v>2.2737324766355145</v>
      </c>
      <c r="Q44" s="43"/>
      <c r="R44" s="43"/>
    </row>
    <row r="45" spans="1:18" ht="15.75" customHeight="1">
      <c r="A45" s="638">
        <f t="shared" si="0"/>
        <v>40</v>
      </c>
      <c r="B45" s="664" t="s">
        <v>377</v>
      </c>
      <c r="C45" s="640"/>
      <c r="D45" s="665">
        <f t="shared" ref="D45:P45" si="14">AVERAGE(D9,D27)</f>
        <v>0</v>
      </c>
      <c r="E45" s="665">
        <f t="shared" si="14"/>
        <v>0</v>
      </c>
      <c r="F45" s="665">
        <f t="shared" si="14"/>
        <v>0</v>
      </c>
      <c r="G45" s="665">
        <f t="shared" si="14"/>
        <v>0</v>
      </c>
      <c r="H45" s="665">
        <f t="shared" si="14"/>
        <v>0</v>
      </c>
      <c r="I45" s="665">
        <f t="shared" si="14"/>
        <v>0</v>
      </c>
      <c r="J45" s="665">
        <f t="shared" si="14"/>
        <v>0</v>
      </c>
      <c r="K45" s="665">
        <f t="shared" si="14"/>
        <v>0</v>
      </c>
      <c r="L45" s="665">
        <f t="shared" si="14"/>
        <v>0</v>
      </c>
      <c r="M45" s="665">
        <f t="shared" si="14"/>
        <v>0</v>
      </c>
      <c r="N45" s="665">
        <f t="shared" si="14"/>
        <v>0</v>
      </c>
      <c r="O45" s="665">
        <f t="shared" si="14"/>
        <v>0</v>
      </c>
      <c r="P45" s="650">
        <f t="shared" si="14"/>
        <v>0</v>
      </c>
      <c r="Q45" s="43"/>
      <c r="R45" s="43"/>
    </row>
    <row r="46" spans="1:18">
      <c r="A46" s="638">
        <f t="shared" si="0"/>
        <v>41</v>
      </c>
      <c r="B46" s="664" t="s">
        <v>199</v>
      </c>
      <c r="C46" s="640" t="s">
        <v>203</v>
      </c>
      <c r="D46" s="669">
        <f t="shared" ref="D46:P46" si="15">AVERAGE(D12,D30)</f>
        <v>27603.358861709065</v>
      </c>
      <c r="E46" s="669">
        <f t="shared" si="15"/>
        <v>27573.358861709065</v>
      </c>
      <c r="F46" s="669">
        <f t="shared" si="15"/>
        <v>27557.358861709065</v>
      </c>
      <c r="G46" s="669">
        <f t="shared" si="15"/>
        <v>27614.91485975212</v>
      </c>
      <c r="H46" s="669">
        <f t="shared" si="15"/>
        <v>27614.91485975212</v>
      </c>
      <c r="I46" s="669">
        <f t="shared" si="15"/>
        <v>27694.91485975212</v>
      </c>
      <c r="J46" s="669">
        <f t="shared" si="15"/>
        <v>27694.91485975212</v>
      </c>
      <c r="K46" s="669">
        <f t="shared" si="15"/>
        <v>27693.916203522505</v>
      </c>
      <c r="L46" s="669">
        <f t="shared" si="15"/>
        <v>27693.91485975212</v>
      </c>
      <c r="M46" s="669">
        <f t="shared" si="15"/>
        <v>27686.41485975212</v>
      </c>
      <c r="N46" s="669">
        <f t="shared" si="15"/>
        <v>27686.41485975212</v>
      </c>
      <c r="O46" s="669">
        <f t="shared" si="15"/>
        <v>27694.413470319632</v>
      </c>
      <c r="P46" s="668">
        <f t="shared" si="15"/>
        <v>27650.734189769508</v>
      </c>
      <c r="Q46" s="43"/>
      <c r="R46" s="43"/>
    </row>
    <row r="47" spans="1:18">
      <c r="A47" s="638">
        <f t="shared" si="0"/>
        <v>42</v>
      </c>
      <c r="B47" s="664" t="s">
        <v>193</v>
      </c>
      <c r="C47" s="640" t="s">
        <v>203</v>
      </c>
      <c r="D47" s="669">
        <f t="shared" ref="D47:P47" si="16">AVERAGE(D13,D31)</f>
        <v>27877.5</v>
      </c>
      <c r="E47" s="669">
        <f t="shared" si="16"/>
        <v>27847.5</v>
      </c>
      <c r="F47" s="669">
        <f t="shared" si="16"/>
        <v>27831.5</v>
      </c>
      <c r="G47" s="669">
        <f t="shared" si="16"/>
        <v>27889</v>
      </c>
      <c r="H47" s="669">
        <f t="shared" si="16"/>
        <v>27889</v>
      </c>
      <c r="I47" s="669">
        <f t="shared" si="16"/>
        <v>27969</v>
      </c>
      <c r="J47" s="669">
        <f t="shared" si="16"/>
        <v>27969</v>
      </c>
      <c r="K47" s="669">
        <f t="shared" si="16"/>
        <v>27968.001343770386</v>
      </c>
      <c r="L47" s="669">
        <f t="shared" si="16"/>
        <v>27968</v>
      </c>
      <c r="M47" s="669">
        <f t="shared" si="16"/>
        <v>27960.5</v>
      </c>
      <c r="N47" s="669">
        <f t="shared" si="16"/>
        <v>27960.5</v>
      </c>
      <c r="O47" s="669">
        <f t="shared" si="16"/>
        <v>27968.498610567513</v>
      </c>
      <c r="P47" s="668">
        <f t="shared" si="16"/>
        <v>27924.833329528159</v>
      </c>
      <c r="Q47" s="43"/>
      <c r="R47" s="43"/>
    </row>
    <row r="48" spans="1:18">
      <c r="A48" s="638">
        <f t="shared" si="0"/>
        <v>43</v>
      </c>
      <c r="B48" s="664" t="s">
        <v>366</v>
      </c>
      <c r="C48" s="640" t="s">
        <v>203</v>
      </c>
      <c r="D48" s="669">
        <f t="shared" ref="D48:P48" si="17">AVERAGE(D14,D32)</f>
        <v>-72</v>
      </c>
      <c r="E48" s="669">
        <f t="shared" si="17"/>
        <v>-72</v>
      </c>
      <c r="F48" s="669">
        <f t="shared" si="17"/>
        <v>-72</v>
      </c>
      <c r="G48" s="669">
        <f t="shared" si="17"/>
        <v>-72</v>
      </c>
      <c r="H48" s="669">
        <f t="shared" si="17"/>
        <v>-72</v>
      </c>
      <c r="I48" s="669">
        <f t="shared" si="17"/>
        <v>-72</v>
      </c>
      <c r="J48" s="669">
        <f t="shared" si="17"/>
        <v>-72</v>
      </c>
      <c r="K48" s="669">
        <f t="shared" si="17"/>
        <v>-72</v>
      </c>
      <c r="L48" s="669">
        <f t="shared" si="17"/>
        <v>-72</v>
      </c>
      <c r="M48" s="669">
        <f t="shared" si="17"/>
        <v>-72</v>
      </c>
      <c r="N48" s="669">
        <f t="shared" si="17"/>
        <v>-72</v>
      </c>
      <c r="O48" s="669">
        <f t="shared" si="17"/>
        <v>-72</v>
      </c>
      <c r="P48" s="668">
        <f t="shared" si="17"/>
        <v>-72</v>
      </c>
      <c r="Q48" s="43"/>
      <c r="R48" s="43"/>
    </row>
    <row r="49" spans="1:20" ht="15.75" customHeight="1">
      <c r="A49" s="638">
        <f t="shared" si="0"/>
        <v>44</v>
      </c>
      <c r="B49" s="664" t="s">
        <v>305</v>
      </c>
      <c r="C49" s="640"/>
      <c r="D49" s="669"/>
      <c r="E49" s="669"/>
      <c r="F49" s="669"/>
      <c r="G49" s="669"/>
      <c r="H49" s="669"/>
      <c r="I49" s="669"/>
      <c r="J49" s="669"/>
      <c r="K49" s="669"/>
      <c r="L49" s="669"/>
      <c r="M49" s="669"/>
      <c r="N49" s="669"/>
      <c r="O49" s="669"/>
      <c r="P49" s="668"/>
      <c r="Q49" s="43"/>
      <c r="R49" s="43"/>
    </row>
    <row r="50" spans="1:20" ht="15.75" customHeight="1">
      <c r="A50" s="638">
        <f t="shared" si="0"/>
        <v>45</v>
      </c>
      <c r="B50" s="666" t="s">
        <v>198</v>
      </c>
      <c r="C50" s="640" t="s">
        <v>195</v>
      </c>
      <c r="D50" s="669">
        <f t="shared" ref="D50:P50" si="18">AVERAGE(D17,D35)</f>
        <v>6160.758029361943</v>
      </c>
      <c r="E50" s="669">
        <f t="shared" si="18"/>
        <v>7398.9085347261407</v>
      </c>
      <c r="F50" s="669">
        <f t="shared" si="18"/>
        <v>8443.6040457368726</v>
      </c>
      <c r="G50" s="669">
        <f t="shared" si="18"/>
        <v>7933.3210446075682</v>
      </c>
      <c r="H50" s="669">
        <f t="shared" si="18"/>
        <v>7675.9635093167708</v>
      </c>
      <c r="I50" s="669">
        <f t="shared" si="18"/>
        <v>7148.8360276679832</v>
      </c>
      <c r="J50" s="669">
        <f t="shared" si="18"/>
        <v>6159.4055307735725</v>
      </c>
      <c r="K50" s="669">
        <f t="shared" si="18"/>
        <v>5853.4905166572571</v>
      </c>
      <c r="L50" s="669">
        <f t="shared" si="18"/>
        <v>6352.4225239977441</v>
      </c>
      <c r="M50" s="669">
        <f t="shared" si="18"/>
        <v>6930.086058723884</v>
      </c>
      <c r="N50" s="669">
        <f t="shared" si="18"/>
        <v>6795.2570242800684</v>
      </c>
      <c r="O50" s="669">
        <f t="shared" si="18"/>
        <v>6102.8200367024265</v>
      </c>
      <c r="P50" s="668">
        <f t="shared" si="18"/>
        <v>6912.9060735460189</v>
      </c>
      <c r="Q50" s="43"/>
      <c r="R50" s="43"/>
    </row>
    <row r="51" spans="1:20">
      <c r="A51" s="638">
        <f t="shared" si="0"/>
        <v>46</v>
      </c>
      <c r="B51" s="666" t="s">
        <v>312</v>
      </c>
      <c r="C51" s="640" t="s">
        <v>195</v>
      </c>
      <c r="D51" s="669">
        <f t="shared" ref="D51:P51" si="19">AVERAGE(D18,D36)</f>
        <v>6029.0176849237723</v>
      </c>
      <c r="E51" s="669">
        <f t="shared" si="19"/>
        <v>7258.466733483905</v>
      </c>
      <c r="F51" s="669">
        <f t="shared" si="19"/>
        <v>8306.0625324675311</v>
      </c>
      <c r="G51" s="669">
        <f t="shared" si="19"/>
        <v>7785.204923771882</v>
      </c>
      <c r="H51" s="669">
        <f t="shared" si="19"/>
        <v>7571.4782241671383</v>
      </c>
      <c r="I51" s="669">
        <f t="shared" si="19"/>
        <v>7043.0437295313377</v>
      </c>
      <c r="J51" s="669">
        <f t="shared" si="19"/>
        <v>6057.9361801242221</v>
      </c>
      <c r="K51" s="669">
        <f t="shared" si="19"/>
        <v>5790.4956324110681</v>
      </c>
      <c r="L51" s="669">
        <f t="shared" si="19"/>
        <v>6254.2428910220242</v>
      </c>
      <c r="M51" s="669">
        <f t="shared" si="19"/>
        <v>6805.2004573687173</v>
      </c>
      <c r="N51" s="669">
        <f t="shared" si="19"/>
        <v>6657.8701411631864</v>
      </c>
      <c r="O51" s="669">
        <f t="shared" si="19"/>
        <v>5956.0578966685471</v>
      </c>
      <c r="P51" s="668">
        <f t="shared" si="19"/>
        <v>6792.9230855919441</v>
      </c>
      <c r="Q51" s="43"/>
      <c r="R51" s="43"/>
    </row>
    <row r="52" spans="1:20">
      <c r="A52" s="638">
        <f t="shared" si="0"/>
        <v>47</v>
      </c>
      <c r="B52" s="666" t="s">
        <v>188</v>
      </c>
      <c r="C52" s="640"/>
      <c r="D52" s="669"/>
      <c r="E52" s="669"/>
      <c r="F52" s="669"/>
      <c r="G52" s="669"/>
      <c r="H52" s="669"/>
      <c r="I52" s="669"/>
      <c r="J52" s="669"/>
      <c r="K52" s="669"/>
      <c r="L52" s="669"/>
      <c r="M52" s="669"/>
      <c r="N52" s="669"/>
      <c r="O52" s="669"/>
      <c r="P52" s="668">
        <f>MAX(D51:O51)</f>
        <v>8306.0625324675311</v>
      </c>
      <c r="Q52" s="43"/>
      <c r="R52" s="43"/>
    </row>
    <row r="53" spans="1:20">
      <c r="A53" s="638">
        <f t="shared" si="0"/>
        <v>48</v>
      </c>
      <c r="B53" s="664" t="s">
        <v>306</v>
      </c>
      <c r="C53" s="640"/>
      <c r="D53" s="669"/>
      <c r="E53" s="669"/>
      <c r="F53" s="669"/>
      <c r="G53" s="669"/>
      <c r="H53" s="669"/>
      <c r="I53" s="669"/>
      <c r="J53" s="669"/>
      <c r="K53" s="669"/>
      <c r="L53" s="669"/>
      <c r="M53" s="669"/>
      <c r="N53" s="669"/>
      <c r="O53" s="669"/>
      <c r="P53" s="668"/>
      <c r="Q53" s="43"/>
      <c r="R53" s="43"/>
    </row>
    <row r="54" spans="1:20">
      <c r="A54" s="638">
        <f t="shared" si="0"/>
        <v>49</v>
      </c>
      <c r="B54" s="666" t="s">
        <v>198</v>
      </c>
      <c r="C54" s="640" t="s">
        <v>332</v>
      </c>
      <c r="D54" s="669">
        <f t="shared" ref="D54:P54" si="20">AVERAGE(D21,D39)</f>
        <v>7769.6949999999997</v>
      </c>
      <c r="E54" s="669">
        <f t="shared" si="20"/>
        <v>8838.4599999999991</v>
      </c>
      <c r="F54" s="669">
        <f t="shared" si="20"/>
        <v>9838.1949999999997</v>
      </c>
      <c r="G54" s="669">
        <f t="shared" si="20"/>
        <v>9842.244999999999</v>
      </c>
      <c r="H54" s="669">
        <f t="shared" si="20"/>
        <v>9365.505000000001</v>
      </c>
      <c r="I54" s="669">
        <f t="shared" si="20"/>
        <v>8805.4850000000006</v>
      </c>
      <c r="J54" s="669">
        <f t="shared" si="20"/>
        <v>8234.5349999999999</v>
      </c>
      <c r="K54" s="669">
        <f t="shared" si="20"/>
        <v>7620.7849999999999</v>
      </c>
      <c r="L54" s="669">
        <f t="shared" si="20"/>
        <v>7684.8899999999994</v>
      </c>
      <c r="M54" s="669">
        <f t="shared" si="20"/>
        <v>8259.1049999999996</v>
      </c>
      <c r="N54" s="669">
        <f t="shared" si="20"/>
        <v>8164.76</v>
      </c>
      <c r="O54" s="669">
        <f t="shared" si="20"/>
        <v>7516.6949999999997</v>
      </c>
      <c r="P54" s="668">
        <f t="shared" si="20"/>
        <v>8495.029583333333</v>
      </c>
      <c r="Q54" s="43"/>
      <c r="R54" s="43"/>
    </row>
    <row r="55" spans="1:20">
      <c r="A55" s="638">
        <f t="shared" si="0"/>
        <v>50</v>
      </c>
      <c r="B55" s="666" t="s">
        <v>312</v>
      </c>
      <c r="C55" s="640" t="s">
        <v>332</v>
      </c>
      <c r="D55" s="669">
        <f t="shared" ref="D55:P55" si="21">AVERAGE(D22,D40)</f>
        <v>7637.954655561829</v>
      </c>
      <c r="E55" s="669">
        <f t="shared" si="21"/>
        <v>8698.0181987577635</v>
      </c>
      <c r="F55" s="669">
        <f t="shared" si="21"/>
        <v>9700.6534867306618</v>
      </c>
      <c r="G55" s="669">
        <f t="shared" si="21"/>
        <v>9694.1288791643128</v>
      </c>
      <c r="H55" s="669">
        <f t="shared" si="21"/>
        <v>9261.0197148503685</v>
      </c>
      <c r="I55" s="669">
        <f t="shared" si="21"/>
        <v>8699.6927018633542</v>
      </c>
      <c r="J55" s="669">
        <f t="shared" si="21"/>
        <v>8133.0656493506494</v>
      </c>
      <c r="K55" s="669">
        <f t="shared" si="21"/>
        <v>7557.7901157538108</v>
      </c>
      <c r="L55" s="669">
        <f t="shared" si="21"/>
        <v>7586.7103670242795</v>
      </c>
      <c r="M55" s="669">
        <f t="shared" si="21"/>
        <v>8134.2193986448328</v>
      </c>
      <c r="N55" s="669">
        <f t="shared" si="21"/>
        <v>8027.3731168831173</v>
      </c>
      <c r="O55" s="669">
        <f t="shared" si="21"/>
        <v>7369.9328599661203</v>
      </c>
      <c r="P55" s="668">
        <f t="shared" si="21"/>
        <v>8375.0465953792591</v>
      </c>
      <c r="Q55" s="82"/>
      <c r="R55" s="43"/>
      <c r="S55" s="83"/>
      <c r="T55" s="84"/>
    </row>
    <row r="56" spans="1:20">
      <c r="A56" s="638">
        <f t="shared" si="0"/>
        <v>51</v>
      </c>
      <c r="B56" s="666" t="s">
        <v>188</v>
      </c>
      <c r="C56" s="640" t="s">
        <v>333</v>
      </c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68">
        <f>MAX(D55:O55)</f>
        <v>9700.6534867306618</v>
      </c>
      <c r="Q56" s="43"/>
      <c r="S56" s="83"/>
      <c r="T56" s="84"/>
    </row>
    <row r="57" spans="1:20" ht="16.5" customHeight="1">
      <c r="A57" s="638">
        <f t="shared" si="0"/>
        <v>52</v>
      </c>
      <c r="B57" s="653" t="s">
        <v>91</v>
      </c>
      <c r="C57" s="640"/>
      <c r="D57" s="670">
        <f t="shared" ref="D57:P57" si="22">AVERAGE(D24,D42)</f>
        <v>33766.390623547646</v>
      </c>
      <c r="E57" s="670">
        <f t="shared" si="22"/>
        <v>34974.541128911842</v>
      </c>
      <c r="F57" s="670">
        <f t="shared" si="22"/>
        <v>36003.236639922572</v>
      </c>
      <c r="G57" s="670">
        <f t="shared" si="22"/>
        <v>35550.509636836323</v>
      </c>
      <c r="H57" s="670">
        <f t="shared" si="22"/>
        <v>35293.152101545522</v>
      </c>
      <c r="I57" s="670">
        <f t="shared" si="22"/>
        <v>34846.024619896736</v>
      </c>
      <c r="J57" s="670">
        <f t="shared" si="22"/>
        <v>33856.594123002331</v>
      </c>
      <c r="K57" s="670">
        <f t="shared" si="22"/>
        <v>33549.680452656394</v>
      </c>
      <c r="L57" s="670">
        <f t="shared" si="22"/>
        <v>34048.611116226501</v>
      </c>
      <c r="M57" s="670">
        <f t="shared" si="22"/>
        <v>34618.774650952633</v>
      </c>
      <c r="N57" s="670">
        <f t="shared" si="22"/>
        <v>34483.94561650882</v>
      </c>
      <c r="O57" s="670">
        <f t="shared" si="22"/>
        <v>33799.507239498693</v>
      </c>
      <c r="P57" s="670">
        <f t="shared" si="22"/>
        <v>34565.913995792165</v>
      </c>
      <c r="Q57" s="43"/>
      <c r="S57" s="83"/>
    </row>
    <row r="58" spans="1:20" ht="30" customHeight="1">
      <c r="A58" s="638">
        <f t="shared" si="0"/>
        <v>53</v>
      </c>
      <c r="B58" s="643" t="s">
        <v>47</v>
      </c>
      <c r="C58" s="640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43"/>
      <c r="R58" s="43"/>
    </row>
    <row r="59" spans="1:20" ht="16.5" customHeight="1">
      <c r="A59" s="638">
        <f t="shared" si="0"/>
        <v>54</v>
      </c>
      <c r="B59" s="648" t="str">
        <f>+CONCATENATE("FY "&amp;Input!$A$4)</f>
        <v>FY 2022</v>
      </c>
      <c r="C59" s="640"/>
      <c r="D59" s="661"/>
      <c r="E59" s="661"/>
      <c r="F59" s="661"/>
      <c r="G59" s="661"/>
      <c r="H59" s="661"/>
      <c r="I59" s="662"/>
      <c r="J59" s="647"/>
      <c r="K59" s="647"/>
      <c r="L59" s="647"/>
      <c r="M59" s="647"/>
      <c r="N59" s="647"/>
      <c r="O59" s="647"/>
      <c r="P59" s="663"/>
      <c r="Q59" s="43"/>
      <c r="R59" s="43"/>
    </row>
    <row r="60" spans="1:20" ht="16.5" customHeight="1">
      <c r="A60" s="638">
        <f t="shared" si="0"/>
        <v>55</v>
      </c>
      <c r="B60" s="664" t="s">
        <v>117</v>
      </c>
      <c r="C60" s="640" t="s">
        <v>203</v>
      </c>
      <c r="D60" s="669">
        <v>6025</v>
      </c>
      <c r="E60" s="669">
        <v>6025</v>
      </c>
      <c r="F60" s="669">
        <v>6025</v>
      </c>
      <c r="G60" s="669">
        <v>6025</v>
      </c>
      <c r="H60" s="669">
        <v>6025</v>
      </c>
      <c r="I60" s="669">
        <v>6025</v>
      </c>
      <c r="J60" s="669">
        <v>6025</v>
      </c>
      <c r="K60" s="669">
        <v>6025</v>
      </c>
      <c r="L60" s="669">
        <v>6025</v>
      </c>
      <c r="M60" s="669">
        <v>6025</v>
      </c>
      <c r="N60" s="669">
        <v>6025</v>
      </c>
      <c r="O60" s="669">
        <v>6025</v>
      </c>
      <c r="P60" s="668">
        <f>AVERAGE(D60:O60)</f>
        <v>6025</v>
      </c>
      <c r="Q60" s="43"/>
      <c r="R60" s="17"/>
    </row>
    <row r="61" spans="1:20">
      <c r="A61" s="638">
        <f t="shared" si="0"/>
        <v>56</v>
      </c>
      <c r="B61" s="664"/>
      <c r="C61" s="640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  <c r="P61" s="652"/>
      <c r="Q61" s="43"/>
      <c r="R61" s="17"/>
    </row>
    <row r="62" spans="1:20">
      <c r="A62" s="638">
        <f t="shared" si="0"/>
        <v>57</v>
      </c>
      <c r="B62" s="653" t="str">
        <f>CONCATENATE("Subtotal of "&amp;B59)</f>
        <v>Subtotal of FY 2022</v>
      </c>
      <c r="C62" s="640" t="s">
        <v>203</v>
      </c>
      <c r="D62" s="668">
        <f t="shared" ref="D62:O62" si="23">SUM(D60:D61)</f>
        <v>6025</v>
      </c>
      <c r="E62" s="668">
        <f t="shared" si="23"/>
        <v>6025</v>
      </c>
      <c r="F62" s="668">
        <f t="shared" si="23"/>
        <v>6025</v>
      </c>
      <c r="G62" s="668">
        <f t="shared" si="23"/>
        <v>6025</v>
      </c>
      <c r="H62" s="668">
        <f t="shared" si="23"/>
        <v>6025</v>
      </c>
      <c r="I62" s="668">
        <f t="shared" si="23"/>
        <v>6025</v>
      </c>
      <c r="J62" s="668">
        <f t="shared" si="23"/>
        <v>6025</v>
      </c>
      <c r="K62" s="668">
        <f t="shared" si="23"/>
        <v>6025</v>
      </c>
      <c r="L62" s="668">
        <f t="shared" si="23"/>
        <v>6025</v>
      </c>
      <c r="M62" s="668">
        <f t="shared" si="23"/>
        <v>6025</v>
      </c>
      <c r="N62" s="668">
        <f t="shared" si="23"/>
        <v>6025</v>
      </c>
      <c r="O62" s="668">
        <f t="shared" si="23"/>
        <v>6025</v>
      </c>
      <c r="P62" s="668">
        <f>AVERAGE(D62:O62)</f>
        <v>6025</v>
      </c>
      <c r="Q62" s="43"/>
      <c r="R62" s="43"/>
    </row>
    <row r="63" spans="1:20" ht="18.75" customHeight="1">
      <c r="A63" s="638">
        <f t="shared" si="0"/>
        <v>58</v>
      </c>
      <c r="B63" s="648" t="str">
        <f>+CONCATENATE("FY "&amp;Input!$A$5)</f>
        <v>FY 2023</v>
      </c>
      <c r="C63" s="640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5"/>
      <c r="O63" s="665"/>
      <c r="P63" s="650"/>
      <c r="Q63" s="43"/>
      <c r="R63" s="43"/>
    </row>
    <row r="64" spans="1:20" ht="16.5" customHeight="1">
      <c r="A64" s="638">
        <f t="shared" si="0"/>
        <v>59</v>
      </c>
      <c r="B64" s="664" t="s">
        <v>117</v>
      </c>
      <c r="C64" s="640" t="s">
        <v>203</v>
      </c>
      <c r="D64" s="669">
        <v>6025</v>
      </c>
      <c r="E64" s="669">
        <v>6025</v>
      </c>
      <c r="F64" s="669">
        <v>6025</v>
      </c>
      <c r="G64" s="669">
        <v>6025</v>
      </c>
      <c r="H64" s="669">
        <v>6025</v>
      </c>
      <c r="I64" s="669">
        <v>6025</v>
      </c>
      <c r="J64" s="669">
        <v>6025</v>
      </c>
      <c r="K64" s="669">
        <v>6025</v>
      </c>
      <c r="L64" s="669">
        <v>6025</v>
      </c>
      <c r="M64" s="669">
        <v>6025</v>
      </c>
      <c r="N64" s="669">
        <v>6025</v>
      </c>
      <c r="O64" s="669">
        <v>6025</v>
      </c>
      <c r="P64" s="668">
        <f>AVERAGE(D64:O64)</f>
        <v>6025</v>
      </c>
      <c r="Q64" s="43"/>
      <c r="R64" s="17"/>
    </row>
    <row r="65" spans="1:19">
      <c r="A65" s="638">
        <f t="shared" si="0"/>
        <v>60</v>
      </c>
      <c r="B65" s="664"/>
      <c r="C65" s="640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  <c r="P65" s="652"/>
      <c r="Q65" s="43"/>
      <c r="S65" s="17"/>
    </row>
    <row r="66" spans="1:19">
      <c r="A66" s="638">
        <f t="shared" si="0"/>
        <v>61</v>
      </c>
      <c r="B66" s="653" t="str">
        <f>CONCATENATE("Subtotal of "&amp;B63)</f>
        <v>Subtotal of FY 2023</v>
      </c>
      <c r="C66" s="640" t="s">
        <v>203</v>
      </c>
      <c r="D66" s="668">
        <f t="shared" ref="D66:O66" si="24">SUM(D64:D65)</f>
        <v>6025</v>
      </c>
      <c r="E66" s="668">
        <f t="shared" si="24"/>
        <v>6025</v>
      </c>
      <c r="F66" s="668">
        <f t="shared" si="24"/>
        <v>6025</v>
      </c>
      <c r="G66" s="668">
        <f t="shared" si="24"/>
        <v>6025</v>
      </c>
      <c r="H66" s="668">
        <f t="shared" si="24"/>
        <v>6025</v>
      </c>
      <c r="I66" s="668">
        <f t="shared" si="24"/>
        <v>6025</v>
      </c>
      <c r="J66" s="668">
        <f t="shared" si="24"/>
        <v>6025</v>
      </c>
      <c r="K66" s="668">
        <f t="shared" si="24"/>
        <v>6025</v>
      </c>
      <c r="L66" s="668">
        <f t="shared" si="24"/>
        <v>6025</v>
      </c>
      <c r="M66" s="668">
        <f t="shared" si="24"/>
        <v>6025</v>
      </c>
      <c r="N66" s="668">
        <f t="shared" si="24"/>
        <v>6025</v>
      </c>
      <c r="O66" s="668">
        <f t="shared" si="24"/>
        <v>6025</v>
      </c>
      <c r="P66" s="668">
        <f>AVERAGE(D66:O66)</f>
        <v>6025</v>
      </c>
      <c r="Q66" s="43"/>
      <c r="R66" s="43"/>
    </row>
    <row r="67" spans="1:19">
      <c r="A67" s="638">
        <f t="shared" si="0"/>
        <v>62</v>
      </c>
      <c r="B67" s="648" t="s">
        <v>217</v>
      </c>
      <c r="C67" s="640"/>
      <c r="D67" s="661"/>
      <c r="E67" s="661"/>
      <c r="F67" s="661"/>
      <c r="G67" s="661"/>
      <c r="H67" s="661"/>
      <c r="I67" s="662"/>
      <c r="J67" s="647"/>
      <c r="K67" s="647"/>
      <c r="L67" s="647"/>
      <c r="M67" s="647"/>
      <c r="N67" s="647"/>
      <c r="O67" s="647"/>
      <c r="P67" s="663"/>
      <c r="Q67" s="43"/>
      <c r="R67" s="43"/>
    </row>
    <row r="68" spans="1:19">
      <c r="A68" s="638">
        <f t="shared" si="0"/>
        <v>63</v>
      </c>
      <c r="B68" s="653" t="s">
        <v>218</v>
      </c>
      <c r="C68" s="640" t="s">
        <v>203</v>
      </c>
      <c r="D68" s="650">
        <f t="shared" ref="D68:P68" si="25">AVERAGE(D62,D66)</f>
        <v>6025</v>
      </c>
      <c r="E68" s="650">
        <f t="shared" si="25"/>
        <v>6025</v>
      </c>
      <c r="F68" s="650">
        <f t="shared" si="25"/>
        <v>6025</v>
      </c>
      <c r="G68" s="650">
        <f t="shared" si="25"/>
        <v>6025</v>
      </c>
      <c r="H68" s="650">
        <f t="shared" si="25"/>
        <v>6025</v>
      </c>
      <c r="I68" s="650">
        <f t="shared" si="25"/>
        <v>6025</v>
      </c>
      <c r="J68" s="650">
        <f t="shared" si="25"/>
        <v>6025</v>
      </c>
      <c r="K68" s="650">
        <f t="shared" si="25"/>
        <v>6025</v>
      </c>
      <c r="L68" s="650">
        <f t="shared" si="25"/>
        <v>6025</v>
      </c>
      <c r="M68" s="650">
        <f t="shared" si="25"/>
        <v>6025</v>
      </c>
      <c r="N68" s="650">
        <f t="shared" si="25"/>
        <v>6025</v>
      </c>
      <c r="O68" s="650">
        <f t="shared" si="25"/>
        <v>6025</v>
      </c>
      <c r="P68" s="650">
        <f t="shared" si="25"/>
        <v>6025</v>
      </c>
      <c r="Q68" s="43"/>
      <c r="R68" s="43"/>
    </row>
    <row r="69" spans="1:19" ht="30" customHeight="1">
      <c r="A69" s="638">
        <f t="shared" si="0"/>
        <v>64</v>
      </c>
      <c r="B69" s="643" t="s">
        <v>50</v>
      </c>
      <c r="C69" s="640"/>
      <c r="D69" s="665"/>
      <c r="E69" s="665"/>
      <c r="F69" s="665"/>
      <c r="G69" s="665"/>
      <c r="H69" s="665"/>
      <c r="I69" s="665"/>
      <c r="J69" s="647"/>
      <c r="K69" s="647"/>
      <c r="L69" s="647"/>
      <c r="M69" s="647"/>
      <c r="N69" s="647"/>
      <c r="O69" s="647"/>
      <c r="P69" s="663"/>
      <c r="Q69" s="43"/>
      <c r="R69" s="43"/>
    </row>
    <row r="70" spans="1:19" ht="16.5" customHeight="1">
      <c r="A70" s="638">
        <f t="shared" si="0"/>
        <v>65</v>
      </c>
      <c r="B70" s="648" t="str">
        <f>+CONCATENATE("FY "&amp;Input!$A$4)</f>
        <v>FY 2022</v>
      </c>
      <c r="C70" s="640"/>
      <c r="D70" s="661"/>
      <c r="E70" s="661"/>
      <c r="F70" s="661"/>
      <c r="G70" s="661"/>
      <c r="H70" s="661"/>
      <c r="I70" s="662"/>
      <c r="J70" s="647"/>
      <c r="K70" s="647"/>
      <c r="L70" s="647"/>
      <c r="M70" s="647"/>
      <c r="N70" s="647"/>
      <c r="O70" s="647"/>
      <c r="P70" s="663"/>
      <c r="Q70" s="43"/>
      <c r="R70" s="43"/>
    </row>
    <row r="71" spans="1:19" ht="16.5" customHeight="1">
      <c r="A71" s="638">
        <f t="shared" si="0"/>
        <v>66</v>
      </c>
      <c r="B71" s="664" t="s">
        <v>109</v>
      </c>
      <c r="C71" s="640" t="s">
        <v>203</v>
      </c>
      <c r="D71" s="669">
        <v>16</v>
      </c>
      <c r="E71" s="669">
        <v>16</v>
      </c>
      <c r="F71" s="669">
        <v>16</v>
      </c>
      <c r="G71" s="669">
        <v>16</v>
      </c>
      <c r="H71" s="669">
        <v>16</v>
      </c>
      <c r="I71" s="669">
        <v>16</v>
      </c>
      <c r="J71" s="669">
        <v>16</v>
      </c>
      <c r="K71" s="669">
        <v>16</v>
      </c>
      <c r="L71" s="669">
        <v>56</v>
      </c>
      <c r="M71" s="669">
        <v>56</v>
      </c>
      <c r="N71" s="669">
        <v>56</v>
      </c>
      <c r="O71" s="669">
        <v>56</v>
      </c>
      <c r="P71" s="668">
        <f>AVERAGE(D71:O71)</f>
        <v>29.333333333333332</v>
      </c>
      <c r="Q71" s="43"/>
      <c r="R71" s="17"/>
    </row>
    <row r="72" spans="1:19" ht="16.5" customHeight="1">
      <c r="A72" s="638">
        <f t="shared" ref="A72:A74" si="26">A71+1</f>
        <v>67</v>
      </c>
      <c r="B72" s="648" t="str">
        <f>+CONCATENATE("FY "&amp;Input!$A$5)</f>
        <v>FY 2023</v>
      </c>
      <c r="C72" s="640"/>
      <c r="D72" s="665"/>
      <c r="E72" s="665"/>
      <c r="F72" s="665"/>
      <c r="G72" s="665"/>
      <c r="H72" s="665"/>
      <c r="I72" s="665"/>
      <c r="J72" s="665"/>
      <c r="K72" s="665"/>
      <c r="L72" s="665"/>
      <c r="M72" s="665"/>
      <c r="N72" s="665"/>
      <c r="O72" s="665"/>
      <c r="P72" s="650"/>
      <c r="Q72" s="43"/>
      <c r="R72" s="43"/>
    </row>
    <row r="73" spans="1:19">
      <c r="A73" s="638">
        <f t="shared" si="26"/>
        <v>68</v>
      </c>
      <c r="B73" s="664" t="s">
        <v>109</v>
      </c>
      <c r="C73" s="640" t="s">
        <v>203</v>
      </c>
      <c r="D73" s="669">
        <v>56</v>
      </c>
      <c r="E73" s="669">
        <v>56</v>
      </c>
      <c r="F73" s="669">
        <v>56</v>
      </c>
      <c r="G73" s="669">
        <v>56</v>
      </c>
      <c r="H73" s="669">
        <v>56</v>
      </c>
      <c r="I73" s="669">
        <v>56</v>
      </c>
      <c r="J73" s="669">
        <v>56</v>
      </c>
      <c r="K73" s="669">
        <v>56</v>
      </c>
      <c r="L73" s="669">
        <v>56</v>
      </c>
      <c r="M73" s="669">
        <v>56</v>
      </c>
      <c r="N73" s="669">
        <v>56</v>
      </c>
      <c r="O73" s="669">
        <v>56</v>
      </c>
      <c r="P73" s="650">
        <f>AVERAGE(D73:O73)</f>
        <v>56</v>
      </c>
      <c r="Q73" s="43"/>
      <c r="R73" s="17"/>
    </row>
    <row r="74" spans="1:19">
      <c r="A74" s="638">
        <f t="shared" si="26"/>
        <v>69</v>
      </c>
      <c r="B74" s="648" t="s">
        <v>307</v>
      </c>
      <c r="C74" s="640" t="s">
        <v>203</v>
      </c>
      <c r="D74" s="650">
        <v>16</v>
      </c>
      <c r="E74" s="650">
        <f t="shared" ref="E74:O74" si="27">AVERAGE(E71,E73)</f>
        <v>36</v>
      </c>
      <c r="F74" s="650">
        <f t="shared" si="27"/>
        <v>36</v>
      </c>
      <c r="G74" s="650">
        <f t="shared" si="27"/>
        <v>36</v>
      </c>
      <c r="H74" s="650">
        <f t="shared" si="27"/>
        <v>36</v>
      </c>
      <c r="I74" s="650">
        <f t="shared" si="27"/>
        <v>36</v>
      </c>
      <c r="J74" s="650">
        <f t="shared" si="27"/>
        <v>36</v>
      </c>
      <c r="K74" s="650">
        <f t="shared" si="27"/>
        <v>36</v>
      </c>
      <c r="L74" s="650">
        <f t="shared" si="27"/>
        <v>56</v>
      </c>
      <c r="M74" s="650">
        <f t="shared" si="27"/>
        <v>56</v>
      </c>
      <c r="N74" s="650">
        <f t="shared" si="27"/>
        <v>56</v>
      </c>
      <c r="O74" s="650">
        <f t="shared" si="27"/>
        <v>56</v>
      </c>
      <c r="P74" s="650">
        <f>AVERAGE(P71,P73)</f>
        <v>42.666666666666664</v>
      </c>
      <c r="Q74" s="43"/>
      <c r="R74" s="43"/>
    </row>
    <row r="75" spans="1:19" ht="39.75" customHeight="1">
      <c r="A75" s="657"/>
      <c r="B75" s="915" t="s">
        <v>334</v>
      </c>
      <c r="C75" s="912"/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43"/>
      <c r="R75" s="43"/>
    </row>
    <row r="76" spans="1:19">
      <c r="D76" s="81"/>
      <c r="E76" s="81"/>
      <c r="F76" s="81"/>
      <c r="G76" s="88"/>
      <c r="H76" s="89"/>
      <c r="I76" s="90"/>
    </row>
    <row r="77" spans="1:19">
      <c r="A77" s="92"/>
      <c r="B77" s="93"/>
      <c r="C77" s="94"/>
      <c r="D77" s="95"/>
      <c r="E77" s="96"/>
      <c r="F77" s="95"/>
      <c r="G77" s="97"/>
      <c r="H77" s="97"/>
      <c r="I77" s="95"/>
      <c r="J77" s="95"/>
      <c r="K77" s="95"/>
      <c r="L77" s="95"/>
      <c r="M77" s="95"/>
      <c r="N77" s="95"/>
      <c r="O77" s="95"/>
      <c r="P77" s="98"/>
      <c r="Q77" s="95"/>
      <c r="R77" s="95"/>
    </row>
    <row r="78" spans="1:19">
      <c r="A78" s="92"/>
      <c r="B78" s="99"/>
      <c r="C78" s="94"/>
      <c r="D78" s="100"/>
      <c r="E78" s="100"/>
      <c r="F78" s="100"/>
      <c r="G78" s="100"/>
      <c r="H78" s="100"/>
      <c r="I78" s="101"/>
      <c r="J78" s="95"/>
      <c r="K78" s="95"/>
      <c r="L78" s="95"/>
      <c r="M78" s="95"/>
      <c r="N78" s="95"/>
      <c r="O78" s="95"/>
      <c r="P78" s="98"/>
      <c r="Q78" s="95"/>
      <c r="R78" s="95"/>
    </row>
    <row r="79" spans="1:19">
      <c r="A79" s="92"/>
      <c r="B79" s="93"/>
      <c r="C79" s="94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3"/>
      <c r="Q79" s="95"/>
      <c r="R79" s="95"/>
    </row>
    <row r="80" spans="1:19">
      <c r="A80" s="92"/>
      <c r="B80" s="93"/>
      <c r="C80" s="94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3"/>
      <c r="Q80" s="95"/>
      <c r="R80" s="95"/>
    </row>
    <row r="81" spans="1:18">
      <c r="A81" s="92"/>
      <c r="B81" s="104"/>
      <c r="C81" s="94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3"/>
      <c r="Q81" s="95"/>
      <c r="R81" s="95"/>
    </row>
    <row r="82" spans="1:18">
      <c r="A82" s="95"/>
      <c r="B82" s="104"/>
      <c r="C82" s="94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  <c r="Q82" s="95"/>
      <c r="R82" s="95"/>
    </row>
    <row r="83" spans="1:18">
      <c r="A83" s="95"/>
      <c r="B83" s="104"/>
      <c r="C83" s="94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3"/>
      <c r="Q83" s="95"/>
      <c r="R83" s="95"/>
    </row>
    <row r="84" spans="1:18">
      <c r="A84" s="95"/>
      <c r="B84" s="104"/>
      <c r="C84" s="94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3"/>
      <c r="Q84" s="95"/>
      <c r="R84" s="95"/>
    </row>
    <row r="85" spans="1:18">
      <c r="A85" s="95"/>
      <c r="B85" s="104"/>
      <c r="C85" s="94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3"/>
      <c r="Q85" s="95"/>
      <c r="R85" s="95"/>
    </row>
    <row r="86" spans="1:18">
      <c r="A86" s="95"/>
      <c r="B86" s="104"/>
      <c r="C86" s="94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3"/>
      <c r="Q86" s="95"/>
      <c r="R86" s="95"/>
    </row>
    <row r="87" spans="1:18">
      <c r="A87" s="95"/>
      <c r="B87" s="104"/>
      <c r="C87" s="94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3"/>
      <c r="Q87" s="95"/>
      <c r="R87" s="95"/>
    </row>
    <row r="88" spans="1:18">
      <c r="A88" s="95"/>
      <c r="B88" s="104"/>
      <c r="C88" s="94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  <c r="Q88" s="95"/>
      <c r="R88" s="95"/>
    </row>
    <row r="89" spans="1:18">
      <c r="A89" s="92"/>
      <c r="B89" s="93"/>
      <c r="C89" s="94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103"/>
      <c r="Q89" s="95"/>
      <c r="R89" s="95"/>
    </row>
    <row r="90" spans="1:18">
      <c r="A90" s="92"/>
      <c r="B90" s="93"/>
      <c r="C90" s="94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3"/>
      <c r="Q90" s="95"/>
      <c r="R90" s="95"/>
    </row>
    <row r="91" spans="1:18">
      <c r="A91" s="92"/>
      <c r="B91" s="104"/>
      <c r="C91" s="9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3"/>
      <c r="Q91" s="95"/>
      <c r="R91" s="95"/>
    </row>
    <row r="92" spans="1:18">
      <c r="A92" s="92"/>
      <c r="B92" s="93"/>
      <c r="C92" s="94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3"/>
      <c r="Q92" s="95"/>
      <c r="R92" s="95"/>
    </row>
    <row r="93" spans="1:18">
      <c r="A93" s="92"/>
      <c r="B93" s="93"/>
      <c r="C93" s="94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103"/>
      <c r="Q93" s="95"/>
      <c r="R93" s="95"/>
    </row>
    <row r="94" spans="1:18">
      <c r="A94" s="92"/>
      <c r="B94" s="104"/>
      <c r="C94" s="9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3"/>
      <c r="Q94" s="95"/>
      <c r="R94" s="95"/>
    </row>
    <row r="95" spans="1:18">
      <c r="A95" s="92"/>
      <c r="B95" s="106"/>
      <c r="C95" s="94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95"/>
      <c r="R95" s="95"/>
    </row>
    <row r="96" spans="1:18">
      <c r="A96" s="92"/>
      <c r="B96" s="93"/>
      <c r="C96" s="94"/>
      <c r="D96" s="92"/>
      <c r="E96" s="92"/>
      <c r="F96" s="92"/>
      <c r="G96" s="92"/>
      <c r="H96" s="92"/>
      <c r="I96" s="95"/>
      <c r="J96" s="95"/>
      <c r="K96" s="95"/>
      <c r="L96" s="95"/>
      <c r="M96" s="95"/>
      <c r="N96" s="95"/>
      <c r="O96" s="95"/>
      <c r="P96" s="98"/>
      <c r="Q96" s="95"/>
      <c r="R96" s="95"/>
    </row>
    <row r="97" spans="1:18">
      <c r="A97" s="92"/>
      <c r="B97" s="104"/>
      <c r="C97" s="94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3"/>
      <c r="Q97" s="95"/>
      <c r="R97" s="95"/>
    </row>
    <row r="98" spans="1:18">
      <c r="A98" s="92"/>
      <c r="B98" s="104"/>
      <c r="C98" s="94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3"/>
      <c r="Q98" s="95"/>
      <c r="R98" s="95"/>
    </row>
    <row r="99" spans="1:18">
      <c r="A99" s="92"/>
      <c r="B99" s="107"/>
      <c r="C99" s="94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95"/>
      <c r="R99" s="95"/>
    </row>
    <row r="100" spans="1:18">
      <c r="A100" s="92"/>
      <c r="B100" s="93"/>
      <c r="C100" s="94"/>
      <c r="D100" s="92"/>
      <c r="E100" s="92"/>
      <c r="F100" s="92"/>
      <c r="G100" s="92"/>
      <c r="H100" s="92"/>
      <c r="I100" s="95"/>
      <c r="J100" s="95"/>
      <c r="K100" s="95"/>
      <c r="L100" s="95"/>
      <c r="M100" s="95"/>
      <c r="N100" s="95"/>
      <c r="O100" s="95"/>
      <c r="P100" s="98"/>
      <c r="Q100" s="95"/>
      <c r="R100" s="95"/>
    </row>
    <row r="101" spans="1:18">
      <c r="A101" s="92"/>
      <c r="B101" s="93"/>
      <c r="C101" s="94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3"/>
      <c r="Q101" s="95"/>
      <c r="R101" s="95"/>
    </row>
    <row r="102" spans="1:18">
      <c r="A102" s="92"/>
      <c r="B102" s="93"/>
      <c r="C102" s="94"/>
      <c r="D102" s="92"/>
      <c r="E102" s="92"/>
      <c r="F102" s="92"/>
      <c r="G102" s="92"/>
      <c r="H102" s="92"/>
      <c r="I102" s="95"/>
      <c r="J102" s="95"/>
      <c r="K102" s="95"/>
      <c r="L102" s="95"/>
      <c r="M102" s="95"/>
      <c r="N102" s="95"/>
      <c r="O102" s="95"/>
      <c r="P102" s="98"/>
      <c r="Q102" s="95"/>
      <c r="R102" s="95"/>
    </row>
    <row r="103" spans="1:18">
      <c r="A103" s="92"/>
      <c r="B103" s="93"/>
      <c r="C103" s="94"/>
      <c r="D103" s="92"/>
      <c r="E103" s="92"/>
      <c r="F103" s="92"/>
      <c r="G103" s="92"/>
      <c r="H103" s="92"/>
      <c r="I103" s="95"/>
      <c r="J103" s="95"/>
      <c r="K103" s="95"/>
      <c r="L103" s="95"/>
      <c r="M103" s="95"/>
      <c r="N103" s="95"/>
      <c r="O103" s="108"/>
      <c r="P103" s="103"/>
      <c r="Q103" s="95"/>
      <c r="R103" s="95"/>
    </row>
    <row r="104" spans="1:18">
      <c r="A104" s="92"/>
      <c r="B104" s="93"/>
      <c r="C104" s="94"/>
      <c r="D104" s="92"/>
      <c r="E104" s="92"/>
      <c r="F104" s="92"/>
      <c r="G104" s="92"/>
      <c r="H104" s="92"/>
      <c r="I104" s="95"/>
      <c r="J104" s="95"/>
      <c r="K104" s="95"/>
      <c r="L104" s="95"/>
      <c r="M104" s="95"/>
      <c r="N104" s="95"/>
      <c r="O104" s="108"/>
      <c r="P104" s="103"/>
      <c r="Q104" s="95"/>
      <c r="R104" s="95"/>
    </row>
    <row r="105" spans="1:18">
      <c r="A105" s="92"/>
      <c r="B105" s="93"/>
      <c r="C105" s="94"/>
      <c r="D105" s="92"/>
      <c r="E105" s="92"/>
      <c r="F105" s="92"/>
      <c r="G105" s="92"/>
      <c r="H105" s="92"/>
      <c r="I105" s="95"/>
      <c r="J105" s="95"/>
      <c r="K105" s="95"/>
      <c r="L105" s="95"/>
      <c r="M105" s="95"/>
      <c r="N105" s="95"/>
      <c r="O105" s="108"/>
      <c r="P105" s="103"/>
      <c r="Q105" s="95"/>
      <c r="R105" s="95"/>
    </row>
    <row r="106" spans="1:18">
      <c r="A106" s="92"/>
      <c r="B106" s="99"/>
      <c r="C106" s="94"/>
      <c r="D106" s="92"/>
      <c r="E106" s="92"/>
      <c r="F106" s="92"/>
      <c r="G106" s="92"/>
      <c r="H106" s="92"/>
      <c r="I106" s="95"/>
      <c r="J106" s="95"/>
      <c r="K106" s="95"/>
      <c r="L106" s="95"/>
      <c r="M106" s="95"/>
      <c r="N106" s="95"/>
      <c r="O106" s="108"/>
      <c r="P106" s="103"/>
      <c r="Q106" s="95"/>
      <c r="R106" s="95"/>
    </row>
    <row r="107" spans="1:18">
      <c r="A107" s="92"/>
      <c r="B107" s="93"/>
      <c r="C107" s="109"/>
      <c r="D107" s="92"/>
      <c r="E107" s="109"/>
      <c r="F107" s="92"/>
      <c r="G107" s="109"/>
      <c r="H107" s="92"/>
      <c r="I107" s="95"/>
      <c r="J107" s="95"/>
      <c r="K107" s="95"/>
      <c r="L107" s="95"/>
      <c r="M107" s="95"/>
      <c r="N107" s="95"/>
      <c r="O107" s="108"/>
      <c r="P107" s="103"/>
      <c r="Q107" s="95"/>
      <c r="R107" s="95"/>
    </row>
    <row r="108" spans="1:18">
      <c r="A108" s="92"/>
      <c r="B108" s="94"/>
      <c r="C108" s="77"/>
      <c r="D108" s="77"/>
      <c r="E108" s="77"/>
      <c r="F108" s="92"/>
      <c r="G108" s="77"/>
      <c r="H108" s="92"/>
      <c r="I108" s="95"/>
      <c r="J108" s="95"/>
      <c r="K108" s="95"/>
      <c r="L108" s="95"/>
      <c r="M108" s="95"/>
      <c r="N108" s="95"/>
      <c r="O108" s="108"/>
      <c r="P108" s="103"/>
      <c r="Q108" s="95"/>
      <c r="R108" s="95"/>
    </row>
    <row r="109" spans="1:18">
      <c r="A109" s="92"/>
      <c r="B109" s="94"/>
      <c r="C109" s="77"/>
      <c r="D109" s="77"/>
      <c r="E109" s="77"/>
      <c r="F109" s="92"/>
      <c r="G109" s="77"/>
      <c r="H109" s="92"/>
      <c r="I109" s="95"/>
      <c r="J109" s="95"/>
      <c r="K109" s="95"/>
      <c r="L109" s="95"/>
      <c r="M109" s="95"/>
      <c r="N109" s="95"/>
      <c r="O109" s="95"/>
      <c r="P109" s="98"/>
      <c r="Q109" s="95"/>
      <c r="R109" s="95"/>
    </row>
    <row r="110" spans="1:18">
      <c r="A110" s="92"/>
      <c r="B110" s="109"/>
      <c r="C110" s="110"/>
      <c r="D110" s="110"/>
      <c r="E110" s="110"/>
      <c r="F110" s="111"/>
      <c r="G110" s="110"/>
      <c r="H110" s="92"/>
      <c r="I110" s="95"/>
      <c r="J110" s="112"/>
      <c r="K110" s="95"/>
      <c r="L110" s="95"/>
      <c r="M110" s="95"/>
      <c r="N110" s="95"/>
      <c r="O110" s="95"/>
      <c r="P110" s="98"/>
      <c r="Q110" s="95"/>
      <c r="R110" s="95"/>
    </row>
    <row r="111" spans="1:18">
      <c r="A111" s="92"/>
      <c r="B111" s="94"/>
      <c r="C111" s="77"/>
      <c r="D111" s="77"/>
      <c r="E111" s="77"/>
      <c r="F111" s="92"/>
      <c r="G111" s="77"/>
      <c r="H111" s="92"/>
      <c r="I111" s="95"/>
      <c r="J111" s="95"/>
      <c r="K111" s="95"/>
      <c r="L111" s="95"/>
      <c r="M111" s="95"/>
      <c r="N111" s="95"/>
      <c r="O111" s="95"/>
      <c r="P111" s="98"/>
      <c r="Q111" s="95"/>
      <c r="R111" s="95"/>
    </row>
    <row r="112" spans="1:18">
      <c r="B112" s="87"/>
      <c r="C112" s="113"/>
      <c r="D112" s="113"/>
      <c r="E112" s="113"/>
      <c r="G112" s="113"/>
    </row>
    <row r="113" spans="2:7">
      <c r="B113" s="87"/>
      <c r="C113" s="113"/>
      <c r="D113" s="113"/>
      <c r="E113" s="113"/>
      <c r="G113" s="113"/>
    </row>
    <row r="114" spans="2:7">
      <c r="B114" s="87"/>
      <c r="C114" s="113"/>
      <c r="D114" s="113"/>
      <c r="E114" s="113"/>
      <c r="G114" s="113"/>
    </row>
    <row r="115" spans="2:7">
      <c r="B115" s="87"/>
      <c r="C115" s="113"/>
      <c r="D115" s="113"/>
      <c r="E115" s="113"/>
      <c r="G115" s="113"/>
    </row>
    <row r="116" spans="2:7">
      <c r="B116" s="87"/>
      <c r="C116" s="113"/>
      <c r="D116" s="113"/>
      <c r="E116" s="113"/>
      <c r="G116" s="113"/>
    </row>
    <row r="117" spans="2:7">
      <c r="B117" s="87"/>
      <c r="C117" s="113"/>
      <c r="D117" s="113"/>
      <c r="E117" s="113"/>
      <c r="G117" s="113"/>
    </row>
  </sheetData>
  <mergeCells count="4">
    <mergeCell ref="A3:P3"/>
    <mergeCell ref="A1:P1"/>
    <mergeCell ref="A2:P2"/>
    <mergeCell ref="B75:P75"/>
  </mergeCells>
  <phoneticPr fontId="22" type="noConversion"/>
  <printOptions horizontalCentered="1"/>
  <pageMargins left="0.25" right="0.25" top="0.75" bottom="0.75" header="0.3" footer="0.3"/>
  <pageSetup scale="73" fitToHeight="0" orientation="landscape" blackAndWhite="1" horizontalDpi="300" verticalDpi="300" r:id="rId1"/>
  <headerFooter alignWithMargins="0"/>
  <rowBreaks count="2" manualBreakCount="2">
    <brk id="24" max="15" man="1"/>
    <brk id="42" max="15" man="1"/>
  </rowBreaks>
  <ignoredErrors>
    <ignoredError sqref="D12:O12 D30:O30" formulaRange="1"/>
    <ignoredError sqref="P5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V84"/>
  <sheetViews>
    <sheetView zoomScale="80" zoomScaleNormal="80" workbookViewId="0">
      <selection sqref="A1:P1"/>
    </sheetView>
  </sheetViews>
  <sheetFormatPr defaultColWidth="8" defaultRowHeight="13.2"/>
  <cols>
    <col min="1" max="1" width="5.44140625" style="131" customWidth="1"/>
    <col min="2" max="2" width="29.44140625" style="132" customWidth="1"/>
    <col min="3" max="3" width="9" style="87" customWidth="1"/>
    <col min="4" max="4" width="8.33203125" style="87" customWidth="1"/>
    <col min="5" max="8" width="8" style="87" customWidth="1"/>
    <col min="9" max="15" width="8" style="133" customWidth="1"/>
    <col min="16" max="16" width="10" style="81" bestFit="1" customWidth="1"/>
    <col min="17" max="17" width="10.33203125" style="116" customWidth="1"/>
    <col min="18" max="18" width="18" style="81" customWidth="1"/>
    <col min="19" max="16384" width="8" style="81"/>
  </cols>
  <sheetData>
    <row r="1" spans="1:22" s="43" customFormat="1" ht="20.25" customHeight="1">
      <c r="A1" s="908" t="s">
        <v>236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</row>
    <row r="2" spans="1:22" s="43" customFormat="1" ht="20.25" customHeight="1">
      <c r="A2" s="908" t="s">
        <v>223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</row>
    <row r="3" spans="1:22">
      <c r="A3" s="632"/>
      <c r="B3" s="633" t="s">
        <v>0</v>
      </c>
      <c r="C3" s="633" t="s">
        <v>1</v>
      </c>
      <c r="D3" s="633" t="s">
        <v>2</v>
      </c>
      <c r="E3" s="633" t="s">
        <v>3</v>
      </c>
      <c r="F3" s="633" t="s">
        <v>4</v>
      </c>
      <c r="G3" s="633" t="s">
        <v>5</v>
      </c>
      <c r="H3" s="633" t="s">
        <v>6</v>
      </c>
      <c r="I3" s="633" t="s">
        <v>7</v>
      </c>
      <c r="J3" s="634" t="s">
        <v>39</v>
      </c>
      <c r="K3" s="634" t="s">
        <v>40</v>
      </c>
      <c r="L3" s="634" t="s">
        <v>41</v>
      </c>
      <c r="M3" s="634" t="s">
        <v>49</v>
      </c>
      <c r="N3" s="634" t="s">
        <v>75</v>
      </c>
      <c r="O3" s="634" t="s">
        <v>271</v>
      </c>
      <c r="P3" s="634" t="s">
        <v>272</v>
      </c>
      <c r="R3" s="779"/>
      <c r="S3" s="779"/>
      <c r="T3" s="779"/>
      <c r="U3" s="779"/>
      <c r="V3" s="779"/>
    </row>
    <row r="4" spans="1:22">
      <c r="A4" s="632"/>
      <c r="B4" s="635" t="s">
        <v>92</v>
      </c>
      <c r="C4" s="636" t="s">
        <v>51</v>
      </c>
      <c r="D4" s="637" t="s">
        <v>93</v>
      </c>
      <c r="E4" s="637" t="s">
        <v>94</v>
      </c>
      <c r="F4" s="637" t="s">
        <v>95</v>
      </c>
      <c r="G4" s="637" t="s">
        <v>96</v>
      </c>
      <c r="H4" s="637" t="s">
        <v>97</v>
      </c>
      <c r="I4" s="637" t="s">
        <v>98</v>
      </c>
      <c r="J4" s="637" t="s">
        <v>99</v>
      </c>
      <c r="K4" s="637" t="s">
        <v>85</v>
      </c>
      <c r="L4" s="637" t="s">
        <v>100</v>
      </c>
      <c r="M4" s="637" t="s">
        <v>101</v>
      </c>
      <c r="N4" s="637" t="s">
        <v>102</v>
      </c>
      <c r="O4" s="637" t="s">
        <v>103</v>
      </c>
      <c r="P4" s="636" t="s">
        <v>43</v>
      </c>
      <c r="R4" s="779"/>
      <c r="S4" s="779"/>
      <c r="T4" s="779"/>
      <c r="U4" s="779"/>
      <c r="V4" s="779"/>
    </row>
    <row r="5" spans="1:22">
      <c r="A5" s="638">
        <v>1</v>
      </c>
      <c r="B5" s="639" t="s">
        <v>121</v>
      </c>
      <c r="C5" s="640"/>
      <c r="D5" s="640">
        <v>31</v>
      </c>
      <c r="E5" s="640">
        <v>30</v>
      </c>
      <c r="F5" s="640">
        <v>31</v>
      </c>
      <c r="G5" s="640">
        <v>31</v>
      </c>
      <c r="H5" s="640">
        <v>28</v>
      </c>
      <c r="I5" s="641">
        <v>31</v>
      </c>
      <c r="J5" s="641">
        <v>30</v>
      </c>
      <c r="K5" s="641">
        <v>31</v>
      </c>
      <c r="L5" s="641">
        <v>30</v>
      </c>
      <c r="M5" s="641">
        <v>31</v>
      </c>
      <c r="N5" s="641">
        <v>31</v>
      </c>
      <c r="O5" s="641">
        <v>30</v>
      </c>
      <c r="P5" s="642"/>
      <c r="R5" s="779"/>
      <c r="S5" s="779"/>
      <c r="T5" s="779"/>
      <c r="U5" s="779"/>
      <c r="V5" s="779"/>
    </row>
    <row r="6" spans="1:22">
      <c r="A6" s="638">
        <f>A5+1</f>
        <v>2</v>
      </c>
      <c r="B6" s="643" t="s">
        <v>221</v>
      </c>
      <c r="C6" s="644"/>
      <c r="D6" s="644"/>
      <c r="E6" s="644"/>
      <c r="F6" s="644"/>
      <c r="G6" s="645"/>
      <c r="H6" s="640"/>
      <c r="I6" s="646"/>
      <c r="J6" s="641"/>
      <c r="K6" s="641"/>
      <c r="L6" s="641"/>
      <c r="M6" s="641"/>
      <c r="N6" s="641"/>
      <c r="O6" s="641"/>
      <c r="P6" s="647"/>
      <c r="Q6" s="117"/>
      <c r="R6" s="779"/>
      <c r="S6" s="779"/>
      <c r="T6" s="779"/>
      <c r="U6" s="779"/>
      <c r="V6" s="779"/>
    </row>
    <row r="7" spans="1:22">
      <c r="A7" s="638">
        <f t="shared" ref="A7:A49" si="0">A6+1</f>
        <v>3</v>
      </c>
      <c r="B7" s="648" t="s">
        <v>649</v>
      </c>
      <c r="C7" s="644" t="s">
        <v>33</v>
      </c>
      <c r="D7" s="644"/>
      <c r="E7" s="644"/>
      <c r="F7" s="644"/>
      <c r="G7" s="644"/>
      <c r="H7" s="644"/>
      <c r="I7" s="646"/>
      <c r="J7" s="641"/>
      <c r="K7" s="641"/>
      <c r="L7" s="641"/>
      <c r="M7" s="641"/>
      <c r="N7" s="641"/>
      <c r="O7" s="641"/>
      <c r="P7" s="647"/>
      <c r="R7" s="779"/>
      <c r="S7" s="779"/>
      <c r="T7" s="779"/>
      <c r="U7" s="779"/>
      <c r="V7" s="779"/>
    </row>
    <row r="8" spans="1:22">
      <c r="A8" s="638">
        <f t="shared" si="0"/>
        <v>4</v>
      </c>
      <c r="B8" s="639" t="s">
        <v>104</v>
      </c>
      <c r="C8" s="640" t="s">
        <v>106</v>
      </c>
      <c r="D8" s="649">
        <f>D11*D$5</f>
        <v>0</v>
      </c>
      <c r="E8" s="649">
        <f t="shared" ref="E8:O9" si="1">E11*E$5</f>
        <v>0</v>
      </c>
      <c r="F8" s="649">
        <f t="shared" si="1"/>
        <v>1770</v>
      </c>
      <c r="G8" s="649">
        <f t="shared" si="1"/>
        <v>3720</v>
      </c>
      <c r="H8" s="649">
        <f t="shared" si="1"/>
        <v>5869.9999999999991</v>
      </c>
      <c r="I8" s="649">
        <f t="shared" si="1"/>
        <v>10800</v>
      </c>
      <c r="J8" s="649">
        <f t="shared" si="1"/>
        <v>11055</v>
      </c>
      <c r="K8" s="649">
        <f t="shared" si="1"/>
        <v>16869.999999999996</v>
      </c>
      <c r="L8" s="649">
        <f t="shared" si="1"/>
        <v>22975</v>
      </c>
      <c r="M8" s="649">
        <f t="shared" si="1"/>
        <v>21170</v>
      </c>
      <c r="N8" s="649">
        <f t="shared" si="1"/>
        <v>1330</v>
      </c>
      <c r="O8" s="649">
        <f t="shared" si="1"/>
        <v>0</v>
      </c>
      <c r="P8" s="650">
        <f>SUM(D8:O8)</f>
        <v>95560</v>
      </c>
      <c r="Q8" s="17"/>
      <c r="R8" s="780"/>
      <c r="S8" s="779"/>
      <c r="T8" s="779"/>
      <c r="U8" s="779"/>
      <c r="V8" s="779"/>
    </row>
    <row r="9" spans="1:22">
      <c r="A9" s="638">
        <f t="shared" si="0"/>
        <v>5</v>
      </c>
      <c r="B9" s="639" t="s">
        <v>105</v>
      </c>
      <c r="C9" s="640" t="s">
        <v>106</v>
      </c>
      <c r="D9" s="649">
        <f>D12*D$5</f>
        <v>0</v>
      </c>
      <c r="E9" s="649">
        <f t="shared" si="1"/>
        <v>0</v>
      </c>
      <c r="F9" s="649">
        <f t="shared" si="1"/>
        <v>14010</v>
      </c>
      <c r="G9" s="649">
        <f t="shared" si="1"/>
        <v>9135</v>
      </c>
      <c r="H9" s="649">
        <f t="shared" si="1"/>
        <v>10930</v>
      </c>
      <c r="I9" s="649">
        <f t="shared" si="1"/>
        <v>18290</v>
      </c>
      <c r="J9" s="649">
        <f t="shared" si="1"/>
        <v>23475</v>
      </c>
      <c r="K9" s="649">
        <f t="shared" si="1"/>
        <v>54590</v>
      </c>
      <c r="L9" s="649">
        <f t="shared" si="1"/>
        <v>60820.000000000007</v>
      </c>
      <c r="M9" s="649">
        <f t="shared" si="1"/>
        <v>28180</v>
      </c>
      <c r="N9" s="649">
        <f t="shared" si="1"/>
        <v>22450</v>
      </c>
      <c r="O9" s="649">
        <f t="shared" si="1"/>
        <v>8545</v>
      </c>
      <c r="P9" s="650">
        <f>SUM(D9:O9)</f>
        <v>250425</v>
      </c>
      <c r="Q9" s="17"/>
      <c r="R9" s="780"/>
      <c r="S9" s="779"/>
      <c r="T9" s="779"/>
      <c r="U9" s="779"/>
      <c r="V9" s="779"/>
    </row>
    <row r="10" spans="1:22">
      <c r="A10" s="638">
        <f t="shared" si="0"/>
        <v>6</v>
      </c>
      <c r="B10" s="639" t="s">
        <v>45</v>
      </c>
      <c r="C10" s="640" t="s">
        <v>108</v>
      </c>
      <c r="D10" s="649">
        <f>D13*D$5*24</f>
        <v>35664</v>
      </c>
      <c r="E10" s="649">
        <f t="shared" ref="E10:O10" si="2">E13*E$5*24</f>
        <v>252744</v>
      </c>
      <c r="F10" s="649">
        <f t="shared" si="2"/>
        <v>134856</v>
      </c>
      <c r="G10" s="649">
        <f t="shared" si="2"/>
        <v>122400</v>
      </c>
      <c r="H10" s="649">
        <f t="shared" si="2"/>
        <v>119855.99999999997</v>
      </c>
      <c r="I10" s="649">
        <f t="shared" si="2"/>
        <v>202560</v>
      </c>
      <c r="J10" s="649">
        <f t="shared" si="2"/>
        <v>177624</v>
      </c>
      <c r="K10" s="649">
        <f t="shared" si="2"/>
        <v>196920</v>
      </c>
      <c r="L10" s="649">
        <f t="shared" si="2"/>
        <v>261960</v>
      </c>
      <c r="M10" s="649">
        <f t="shared" si="2"/>
        <v>278736</v>
      </c>
      <c r="N10" s="649">
        <f t="shared" si="2"/>
        <v>34200</v>
      </c>
      <c r="O10" s="649">
        <f t="shared" si="2"/>
        <v>26784</v>
      </c>
      <c r="P10" s="650">
        <f>SUM(D10:O10)</f>
        <v>1844304</v>
      </c>
      <c r="Q10" s="17"/>
      <c r="R10" s="780"/>
      <c r="S10" s="779"/>
      <c r="T10" s="779"/>
      <c r="U10" s="779"/>
      <c r="V10" s="779"/>
    </row>
    <row r="11" spans="1:22" ht="21.75" customHeight="1">
      <c r="A11" s="638">
        <f t="shared" si="0"/>
        <v>7</v>
      </c>
      <c r="B11" s="639" t="s">
        <v>104</v>
      </c>
      <c r="C11" s="640" t="s">
        <v>203</v>
      </c>
      <c r="D11" s="649">
        <v>0</v>
      </c>
      <c r="E11" s="649">
        <v>0</v>
      </c>
      <c r="F11" s="649">
        <v>57.096774193548384</v>
      </c>
      <c r="G11" s="649">
        <v>120</v>
      </c>
      <c r="H11" s="649">
        <v>209.64285714285711</v>
      </c>
      <c r="I11" s="649">
        <v>348.38709677419354</v>
      </c>
      <c r="J11" s="649">
        <v>368.5</v>
      </c>
      <c r="K11" s="649">
        <v>544.19354838709671</v>
      </c>
      <c r="L11" s="649">
        <v>765.83333333333337</v>
      </c>
      <c r="M11" s="649">
        <v>682.90322580645159</v>
      </c>
      <c r="N11" s="649">
        <v>42.903225806451616</v>
      </c>
      <c r="O11" s="649">
        <v>0</v>
      </c>
      <c r="P11" s="650">
        <f>AVERAGE(D11:O11)</f>
        <v>261.6216717869944</v>
      </c>
      <c r="Q11" s="134"/>
      <c r="R11" s="780"/>
      <c r="S11" s="779"/>
      <c r="T11" s="779"/>
      <c r="U11" s="779"/>
      <c r="V11" s="779"/>
    </row>
    <row r="12" spans="1:22">
      <c r="A12" s="638">
        <f t="shared" si="0"/>
        <v>8</v>
      </c>
      <c r="B12" s="639" t="s">
        <v>105</v>
      </c>
      <c r="C12" s="640" t="s">
        <v>203</v>
      </c>
      <c r="D12" s="649">
        <v>0</v>
      </c>
      <c r="E12" s="649">
        <v>0</v>
      </c>
      <c r="F12" s="649">
        <v>451.93548387096774</v>
      </c>
      <c r="G12" s="649">
        <v>294.67741935483872</v>
      </c>
      <c r="H12" s="649">
        <v>390.35714285714289</v>
      </c>
      <c r="I12" s="649">
        <v>590</v>
      </c>
      <c r="J12" s="649">
        <v>782.5</v>
      </c>
      <c r="K12" s="649">
        <v>1760.9677419354839</v>
      </c>
      <c r="L12" s="649">
        <v>2027.3333333333335</v>
      </c>
      <c r="M12" s="649">
        <v>909.0322580645161</v>
      </c>
      <c r="N12" s="649">
        <v>724.19354838709683</v>
      </c>
      <c r="O12" s="649">
        <v>284.83333333333331</v>
      </c>
      <c r="P12" s="650">
        <f>AVERAGE(D12:O12)</f>
        <v>684.65252176139268</v>
      </c>
      <c r="Q12" s="43"/>
      <c r="R12" s="780"/>
      <c r="S12" s="779"/>
      <c r="T12" s="779"/>
      <c r="U12" s="779"/>
      <c r="V12" s="779"/>
    </row>
    <row r="13" spans="1:22">
      <c r="A13" s="638">
        <f t="shared" si="0"/>
        <v>9</v>
      </c>
      <c r="B13" s="639" t="s">
        <v>45</v>
      </c>
      <c r="C13" s="640" t="s">
        <v>203</v>
      </c>
      <c r="D13" s="651">
        <v>47.935483870967744</v>
      </c>
      <c r="E13" s="651">
        <v>351.0333333333333</v>
      </c>
      <c r="F13" s="651">
        <v>181.25806451612902</v>
      </c>
      <c r="G13" s="651">
        <v>164.51612903225805</v>
      </c>
      <c r="H13" s="651">
        <v>178.35714285714283</v>
      </c>
      <c r="I13" s="651">
        <v>272.25806451612902</v>
      </c>
      <c r="J13" s="651">
        <v>246.7</v>
      </c>
      <c r="K13" s="651">
        <v>264.67741935483872</v>
      </c>
      <c r="L13" s="651">
        <v>363.83333333333331</v>
      </c>
      <c r="M13" s="651">
        <v>374.64516129032256</v>
      </c>
      <c r="N13" s="651">
        <v>45.967741935483872</v>
      </c>
      <c r="O13" s="651">
        <v>37.200000000000003</v>
      </c>
      <c r="P13" s="652">
        <f>AVERAGE(D13:O13)</f>
        <v>210.6984895033282</v>
      </c>
      <c r="Q13" s="43"/>
      <c r="R13" s="780"/>
      <c r="S13" s="779"/>
      <c r="T13" s="779"/>
      <c r="U13" s="779"/>
      <c r="V13" s="779"/>
    </row>
    <row r="14" spans="1:22">
      <c r="A14" s="638">
        <f t="shared" si="0"/>
        <v>10</v>
      </c>
      <c r="B14" s="653" t="str">
        <f>CONCATENATE("Subtotal of "&amp;B7)</f>
        <v>Subtotal of FY 2022</v>
      </c>
      <c r="C14" s="640" t="s">
        <v>203</v>
      </c>
      <c r="D14" s="654">
        <f t="shared" ref="D14:P14" si="3">SUM(D11:D13)</f>
        <v>47.935483870967744</v>
      </c>
      <c r="E14" s="654">
        <f t="shared" si="3"/>
        <v>351.0333333333333</v>
      </c>
      <c r="F14" s="654">
        <f t="shared" si="3"/>
        <v>690.29032258064512</v>
      </c>
      <c r="G14" s="654">
        <f t="shared" si="3"/>
        <v>579.19354838709683</v>
      </c>
      <c r="H14" s="654">
        <f t="shared" si="3"/>
        <v>778.35714285714289</v>
      </c>
      <c r="I14" s="654">
        <f t="shared" si="3"/>
        <v>1210.6451612903224</v>
      </c>
      <c r="J14" s="654">
        <f t="shared" si="3"/>
        <v>1397.7</v>
      </c>
      <c r="K14" s="654">
        <f t="shared" si="3"/>
        <v>2569.838709677419</v>
      </c>
      <c r="L14" s="654">
        <f t="shared" si="3"/>
        <v>3157.0000000000005</v>
      </c>
      <c r="M14" s="654">
        <f t="shared" si="3"/>
        <v>1966.5806451612902</v>
      </c>
      <c r="N14" s="654">
        <f t="shared" si="3"/>
        <v>813.06451612903231</v>
      </c>
      <c r="O14" s="654">
        <f t="shared" si="3"/>
        <v>322.0333333333333</v>
      </c>
      <c r="P14" s="650">
        <f t="shared" si="3"/>
        <v>1156.9726830517152</v>
      </c>
      <c r="Q14" s="119"/>
      <c r="R14" s="780"/>
      <c r="S14" s="779"/>
      <c r="T14" s="779"/>
      <c r="U14" s="779"/>
      <c r="V14" s="779"/>
    </row>
    <row r="15" spans="1:22" ht="16.5" customHeight="1">
      <c r="A15" s="638">
        <f t="shared" si="0"/>
        <v>11</v>
      </c>
      <c r="B15" s="648" t="s">
        <v>650</v>
      </c>
      <c r="C15" s="644" t="s">
        <v>33</v>
      </c>
      <c r="D15" s="644"/>
      <c r="E15" s="644"/>
      <c r="F15" s="644"/>
      <c r="G15" s="644"/>
      <c r="H15" s="644"/>
      <c r="I15" s="646"/>
      <c r="J15" s="641"/>
      <c r="K15" s="641"/>
      <c r="L15" s="641"/>
      <c r="M15" s="641"/>
      <c r="N15" s="641"/>
      <c r="O15" s="641"/>
      <c r="P15" s="647"/>
      <c r="R15" s="780"/>
      <c r="S15" s="779"/>
      <c r="T15" s="779"/>
      <c r="U15" s="779"/>
      <c r="V15" s="779"/>
    </row>
    <row r="16" spans="1:22">
      <c r="A16" s="638">
        <f t="shared" si="0"/>
        <v>12</v>
      </c>
      <c r="B16" s="639" t="s">
        <v>104</v>
      </c>
      <c r="C16" s="640" t="s">
        <v>106</v>
      </c>
      <c r="D16" s="649">
        <f>D19*D$5</f>
        <v>0</v>
      </c>
      <c r="E16" s="649">
        <f t="shared" ref="E16:O16" si="4">E19*E$5</f>
        <v>0</v>
      </c>
      <c r="F16" s="649">
        <f t="shared" si="4"/>
        <v>1755</v>
      </c>
      <c r="G16" s="649">
        <f t="shared" si="4"/>
        <v>3685</v>
      </c>
      <c r="H16" s="649">
        <f t="shared" si="4"/>
        <v>5815</v>
      </c>
      <c r="I16" s="649">
        <f t="shared" si="4"/>
        <v>10700</v>
      </c>
      <c r="J16" s="649">
        <f t="shared" si="4"/>
        <v>10965</v>
      </c>
      <c r="K16" s="649">
        <f t="shared" si="4"/>
        <v>16725</v>
      </c>
      <c r="L16" s="649">
        <f t="shared" si="4"/>
        <v>22780</v>
      </c>
      <c r="M16" s="649">
        <f t="shared" si="4"/>
        <v>20995</v>
      </c>
      <c r="N16" s="649">
        <f t="shared" si="4"/>
        <v>1324.9999999999998</v>
      </c>
      <c r="O16" s="649">
        <f t="shared" si="4"/>
        <v>0</v>
      </c>
      <c r="P16" s="650">
        <f>SUM(D16:O16)</f>
        <v>94745</v>
      </c>
      <c r="Q16" s="17"/>
      <c r="R16" s="780"/>
      <c r="S16" s="779"/>
      <c r="T16" s="779"/>
      <c r="U16" s="779"/>
      <c r="V16" s="779"/>
    </row>
    <row r="17" spans="1:22">
      <c r="A17" s="638">
        <f t="shared" si="0"/>
        <v>13</v>
      </c>
      <c r="B17" s="639" t="s">
        <v>105</v>
      </c>
      <c r="C17" s="640" t="s">
        <v>106</v>
      </c>
      <c r="D17" s="649">
        <f>D20*D$5</f>
        <v>0</v>
      </c>
      <c r="E17" s="649">
        <f t="shared" ref="E17:O17" si="5">E20*E$5</f>
        <v>0</v>
      </c>
      <c r="F17" s="649">
        <f t="shared" si="5"/>
        <v>13890.000000000002</v>
      </c>
      <c r="G17" s="649">
        <f t="shared" si="5"/>
        <v>9054.9999999999982</v>
      </c>
      <c r="H17" s="649">
        <f t="shared" si="5"/>
        <v>10840</v>
      </c>
      <c r="I17" s="649">
        <f t="shared" si="5"/>
        <v>18130</v>
      </c>
      <c r="J17" s="649">
        <f t="shared" si="5"/>
        <v>23275</v>
      </c>
      <c r="K17" s="649">
        <f t="shared" si="5"/>
        <v>54110</v>
      </c>
      <c r="L17" s="649">
        <f t="shared" si="5"/>
        <v>60295</v>
      </c>
      <c r="M17" s="649">
        <f t="shared" si="5"/>
        <v>27940</v>
      </c>
      <c r="N17" s="649">
        <f t="shared" si="5"/>
        <v>22265</v>
      </c>
      <c r="O17" s="649">
        <f t="shared" si="5"/>
        <v>8470.0000000000018</v>
      </c>
      <c r="P17" s="650">
        <f>SUM(D17:O17)</f>
        <v>248270</v>
      </c>
      <c r="Q17" s="17"/>
      <c r="R17" s="780"/>
      <c r="S17" s="779"/>
      <c r="T17" s="779"/>
      <c r="U17" s="779"/>
      <c r="V17" s="779"/>
    </row>
    <row r="18" spans="1:22">
      <c r="A18" s="638">
        <f t="shared" si="0"/>
        <v>14</v>
      </c>
      <c r="B18" s="639" t="s">
        <v>45</v>
      </c>
      <c r="C18" s="640" t="s">
        <v>108</v>
      </c>
      <c r="D18" s="649">
        <f>D21*D$5*24</f>
        <v>35352</v>
      </c>
      <c r="E18" s="649">
        <f t="shared" ref="E18:O18" si="6">E21*E$5*24</f>
        <v>250584</v>
      </c>
      <c r="F18" s="649">
        <f t="shared" si="6"/>
        <v>133728</v>
      </c>
      <c r="G18" s="649">
        <f t="shared" si="6"/>
        <v>121320</v>
      </c>
      <c r="H18" s="649">
        <f t="shared" si="6"/>
        <v>118847.99999999997</v>
      </c>
      <c r="I18" s="649">
        <f t="shared" si="6"/>
        <v>200784</v>
      </c>
      <c r="J18" s="649">
        <f t="shared" si="6"/>
        <v>176064</v>
      </c>
      <c r="K18" s="649">
        <f t="shared" si="6"/>
        <v>195191.99999999997</v>
      </c>
      <c r="L18" s="649">
        <f t="shared" si="6"/>
        <v>259680</v>
      </c>
      <c r="M18" s="649">
        <f t="shared" si="6"/>
        <v>276263.99999999994</v>
      </c>
      <c r="N18" s="649">
        <f t="shared" si="6"/>
        <v>33888</v>
      </c>
      <c r="O18" s="649">
        <f t="shared" si="6"/>
        <v>26568</v>
      </c>
      <c r="P18" s="650">
        <f>SUM(D18:O18)</f>
        <v>1828272</v>
      </c>
      <c r="Q18" s="17"/>
      <c r="R18" s="780"/>
      <c r="S18" s="779"/>
      <c r="T18" s="779"/>
      <c r="U18" s="779"/>
      <c r="V18" s="779"/>
    </row>
    <row r="19" spans="1:22" ht="21" customHeight="1">
      <c r="A19" s="638">
        <f t="shared" si="0"/>
        <v>15</v>
      </c>
      <c r="B19" s="639" t="s">
        <v>104</v>
      </c>
      <c r="C19" s="640" t="s">
        <v>203</v>
      </c>
      <c r="D19" s="649">
        <v>0</v>
      </c>
      <c r="E19" s="649">
        <v>0</v>
      </c>
      <c r="F19" s="649">
        <v>56.612903225806448</v>
      </c>
      <c r="G19" s="649">
        <v>118.87096774193549</v>
      </c>
      <c r="H19" s="649">
        <v>207.67857142857144</v>
      </c>
      <c r="I19" s="649">
        <v>345.16129032258067</v>
      </c>
      <c r="J19" s="649">
        <v>365.5</v>
      </c>
      <c r="K19" s="649">
        <v>539.51612903225805</v>
      </c>
      <c r="L19" s="649">
        <v>759.33333333333337</v>
      </c>
      <c r="M19" s="649">
        <v>677.25806451612902</v>
      </c>
      <c r="N19" s="649">
        <v>42.741935483870961</v>
      </c>
      <c r="O19" s="649">
        <v>0</v>
      </c>
      <c r="P19" s="650">
        <f>AVERAGE(D19:O19)</f>
        <v>259.38943292370715</v>
      </c>
      <c r="Q19" s="43"/>
      <c r="R19" s="780"/>
      <c r="S19" s="779"/>
      <c r="T19" s="779"/>
      <c r="U19" s="779"/>
      <c r="V19" s="779"/>
    </row>
    <row r="20" spans="1:22">
      <c r="A20" s="638">
        <f t="shared" si="0"/>
        <v>16</v>
      </c>
      <c r="B20" s="639" t="s">
        <v>105</v>
      </c>
      <c r="C20" s="640" t="s">
        <v>203</v>
      </c>
      <c r="D20" s="649">
        <v>0</v>
      </c>
      <c r="E20" s="649">
        <v>0</v>
      </c>
      <c r="F20" s="649">
        <v>448.06451612903231</v>
      </c>
      <c r="G20" s="649">
        <v>292.09677419354836</v>
      </c>
      <c r="H20" s="649">
        <v>387.14285714285711</v>
      </c>
      <c r="I20" s="649">
        <v>584.83870967741939</v>
      </c>
      <c r="J20" s="649">
        <v>775.83333333333337</v>
      </c>
      <c r="K20" s="649">
        <v>1745.483870967742</v>
      </c>
      <c r="L20" s="649">
        <v>2009.8333333333333</v>
      </c>
      <c r="M20" s="649">
        <v>901.29032258064512</v>
      </c>
      <c r="N20" s="649">
        <v>718.22580645161293</v>
      </c>
      <c r="O20" s="649">
        <v>282.33333333333337</v>
      </c>
      <c r="P20" s="650">
        <f>AVERAGE(D20:O20)</f>
        <v>678.7619047619047</v>
      </c>
      <c r="Q20" s="43"/>
      <c r="R20" s="780"/>
      <c r="S20" s="779"/>
      <c r="T20" s="779"/>
      <c r="U20" s="779"/>
      <c r="V20" s="779"/>
    </row>
    <row r="21" spans="1:22">
      <c r="A21" s="638">
        <f t="shared" si="0"/>
        <v>17</v>
      </c>
      <c r="B21" s="639" t="s">
        <v>45</v>
      </c>
      <c r="C21" s="640" t="s">
        <v>203</v>
      </c>
      <c r="D21" s="651">
        <v>47.516129032258064</v>
      </c>
      <c r="E21" s="651">
        <v>348.0333333333333</v>
      </c>
      <c r="F21" s="651">
        <v>179.74193548387098</v>
      </c>
      <c r="G21" s="651">
        <v>163.06451612903226</v>
      </c>
      <c r="H21" s="651">
        <v>176.85714285714283</v>
      </c>
      <c r="I21" s="651">
        <v>269.87096774193549</v>
      </c>
      <c r="J21" s="651">
        <v>244.53333333333333</v>
      </c>
      <c r="K21" s="651">
        <v>262.35483870967738</v>
      </c>
      <c r="L21" s="651">
        <v>360.66666666666669</v>
      </c>
      <c r="M21" s="651">
        <v>371.32258064516122</v>
      </c>
      <c r="N21" s="651">
        <v>45.548387096774192</v>
      </c>
      <c r="O21" s="651">
        <v>36.9</v>
      </c>
      <c r="P21" s="652">
        <f>AVERAGE(D21:O21)</f>
        <v>208.86748591909881</v>
      </c>
      <c r="Q21" s="43"/>
      <c r="R21" s="780"/>
      <c r="S21" s="779"/>
      <c r="T21" s="779"/>
      <c r="U21" s="779"/>
      <c r="V21" s="779"/>
    </row>
    <row r="22" spans="1:22">
      <c r="A22" s="638">
        <f t="shared" si="0"/>
        <v>18</v>
      </c>
      <c r="B22" s="653" t="str">
        <f>CONCATENATE("Subtotal of "&amp;B15)</f>
        <v>Subtotal of FY 2023</v>
      </c>
      <c r="C22" s="640" t="s">
        <v>203</v>
      </c>
      <c r="D22" s="654">
        <f t="shared" ref="D22:P22" si="7">SUM(D19:D21)</f>
        <v>47.516129032258064</v>
      </c>
      <c r="E22" s="654">
        <f t="shared" si="7"/>
        <v>348.0333333333333</v>
      </c>
      <c r="F22" s="654">
        <f t="shared" si="7"/>
        <v>684.41935483870975</v>
      </c>
      <c r="G22" s="654">
        <f t="shared" si="7"/>
        <v>574.0322580645161</v>
      </c>
      <c r="H22" s="654">
        <f t="shared" si="7"/>
        <v>771.67857142857133</v>
      </c>
      <c r="I22" s="654">
        <f t="shared" si="7"/>
        <v>1199.8709677419356</v>
      </c>
      <c r="J22" s="654">
        <f t="shared" si="7"/>
        <v>1385.8666666666668</v>
      </c>
      <c r="K22" s="654">
        <f t="shared" si="7"/>
        <v>2547.3548387096776</v>
      </c>
      <c r="L22" s="654">
        <f t="shared" si="7"/>
        <v>3129.833333333333</v>
      </c>
      <c r="M22" s="654">
        <f t="shared" si="7"/>
        <v>1949.8709677419354</v>
      </c>
      <c r="N22" s="654">
        <f t="shared" si="7"/>
        <v>806.51612903225805</v>
      </c>
      <c r="O22" s="654">
        <f t="shared" si="7"/>
        <v>319.23333333333335</v>
      </c>
      <c r="P22" s="650">
        <f t="shared" si="7"/>
        <v>1147.0188236047106</v>
      </c>
      <c r="Q22" s="119"/>
      <c r="R22" s="780"/>
      <c r="S22" s="779"/>
      <c r="T22" s="779"/>
      <c r="U22" s="779"/>
      <c r="V22" s="779"/>
    </row>
    <row r="23" spans="1:22" ht="16.5" customHeight="1">
      <c r="A23" s="638">
        <f t="shared" si="0"/>
        <v>19</v>
      </c>
      <c r="B23" s="648" t="s">
        <v>122</v>
      </c>
      <c r="C23" s="644"/>
      <c r="D23" s="644"/>
      <c r="E23" s="644"/>
      <c r="F23" s="644"/>
      <c r="G23" s="644"/>
      <c r="H23" s="644"/>
      <c r="I23" s="646"/>
      <c r="J23" s="641"/>
      <c r="K23" s="641"/>
      <c r="L23" s="641"/>
      <c r="M23" s="641"/>
      <c r="N23" s="641"/>
      <c r="O23" s="641"/>
      <c r="P23" s="647"/>
      <c r="R23" s="780"/>
      <c r="S23" s="779"/>
      <c r="T23" s="779"/>
      <c r="U23" s="779"/>
      <c r="V23" s="779"/>
    </row>
    <row r="24" spans="1:22">
      <c r="A24" s="638">
        <f t="shared" si="0"/>
        <v>20</v>
      </c>
      <c r="B24" s="639" t="s">
        <v>104</v>
      </c>
      <c r="C24" s="640" t="s">
        <v>203</v>
      </c>
      <c r="D24" s="649">
        <f>AVERAGE(D11,D19)</f>
        <v>0</v>
      </c>
      <c r="E24" s="649">
        <f t="shared" ref="E24:O24" si="8">AVERAGE(E11,E19)</f>
        <v>0</v>
      </c>
      <c r="F24" s="649">
        <f t="shared" si="8"/>
        <v>56.854838709677416</v>
      </c>
      <c r="G24" s="649">
        <f t="shared" si="8"/>
        <v>119.43548387096774</v>
      </c>
      <c r="H24" s="649">
        <f t="shared" si="8"/>
        <v>208.66071428571428</v>
      </c>
      <c r="I24" s="649">
        <f t="shared" si="8"/>
        <v>346.77419354838707</v>
      </c>
      <c r="J24" s="649">
        <f t="shared" si="8"/>
        <v>367</v>
      </c>
      <c r="K24" s="649">
        <f t="shared" si="8"/>
        <v>541.85483870967732</v>
      </c>
      <c r="L24" s="649">
        <f t="shared" si="8"/>
        <v>762.58333333333337</v>
      </c>
      <c r="M24" s="649">
        <f t="shared" si="8"/>
        <v>680.08064516129025</v>
      </c>
      <c r="N24" s="649">
        <f t="shared" si="8"/>
        <v>42.822580645161288</v>
      </c>
      <c r="O24" s="649">
        <f t="shared" si="8"/>
        <v>0</v>
      </c>
      <c r="P24" s="650">
        <f>AVERAGE(D24:O24)</f>
        <v>260.50555235535074</v>
      </c>
      <c r="Q24" s="43"/>
      <c r="R24" s="780"/>
      <c r="S24" s="779"/>
      <c r="T24" s="779"/>
      <c r="U24" s="779"/>
      <c r="V24" s="779"/>
    </row>
    <row r="25" spans="1:22">
      <c r="A25" s="638">
        <f t="shared" si="0"/>
        <v>21</v>
      </c>
      <c r="B25" s="639" t="s">
        <v>105</v>
      </c>
      <c r="C25" s="640" t="s">
        <v>203</v>
      </c>
      <c r="D25" s="649">
        <f t="shared" ref="D25:O25" si="9">AVERAGE(D12,D20)</f>
        <v>0</v>
      </c>
      <c r="E25" s="649">
        <f t="shared" si="9"/>
        <v>0</v>
      </c>
      <c r="F25" s="649">
        <f t="shared" si="9"/>
        <v>450</v>
      </c>
      <c r="G25" s="649">
        <f t="shared" si="9"/>
        <v>293.38709677419354</v>
      </c>
      <c r="H25" s="649">
        <f t="shared" si="9"/>
        <v>388.75</v>
      </c>
      <c r="I25" s="649">
        <f t="shared" si="9"/>
        <v>587.41935483870975</v>
      </c>
      <c r="J25" s="649">
        <f t="shared" si="9"/>
        <v>779.16666666666674</v>
      </c>
      <c r="K25" s="649">
        <f t="shared" si="9"/>
        <v>1753.2258064516129</v>
      </c>
      <c r="L25" s="649">
        <f t="shared" si="9"/>
        <v>2018.5833333333335</v>
      </c>
      <c r="M25" s="649">
        <f t="shared" si="9"/>
        <v>905.16129032258061</v>
      </c>
      <c r="N25" s="649">
        <f t="shared" si="9"/>
        <v>721.20967741935488</v>
      </c>
      <c r="O25" s="649">
        <f t="shared" si="9"/>
        <v>283.58333333333337</v>
      </c>
      <c r="P25" s="650">
        <f>AVERAGE(D25:O25)</f>
        <v>681.7072132616488</v>
      </c>
      <c r="Q25" s="43"/>
      <c r="R25" s="780"/>
      <c r="S25" s="779"/>
      <c r="T25" s="779"/>
      <c r="U25" s="779"/>
      <c r="V25" s="779"/>
    </row>
    <row r="26" spans="1:22">
      <c r="A26" s="638">
        <f t="shared" si="0"/>
        <v>22</v>
      </c>
      <c r="B26" s="639" t="s">
        <v>45</v>
      </c>
      <c r="C26" s="640" t="s">
        <v>203</v>
      </c>
      <c r="D26" s="651">
        <f t="shared" ref="D26:O26" si="10">AVERAGE(D13,D21)</f>
        <v>47.725806451612904</v>
      </c>
      <c r="E26" s="651">
        <f t="shared" si="10"/>
        <v>349.5333333333333</v>
      </c>
      <c r="F26" s="651">
        <f t="shared" si="10"/>
        <v>180.5</v>
      </c>
      <c r="G26" s="651">
        <f t="shared" si="10"/>
        <v>163.79032258064515</v>
      </c>
      <c r="H26" s="651">
        <f t="shared" si="10"/>
        <v>177.60714285714283</v>
      </c>
      <c r="I26" s="651">
        <f t="shared" si="10"/>
        <v>271.06451612903226</v>
      </c>
      <c r="J26" s="651">
        <f t="shared" si="10"/>
        <v>245.61666666666667</v>
      </c>
      <c r="K26" s="651">
        <f t="shared" si="10"/>
        <v>263.51612903225805</v>
      </c>
      <c r="L26" s="651">
        <f t="shared" si="10"/>
        <v>362.25</v>
      </c>
      <c r="M26" s="651">
        <f t="shared" si="10"/>
        <v>372.98387096774189</v>
      </c>
      <c r="N26" s="651">
        <f t="shared" si="10"/>
        <v>45.758064516129032</v>
      </c>
      <c r="O26" s="651">
        <f t="shared" si="10"/>
        <v>37.049999999999997</v>
      </c>
      <c r="P26" s="652">
        <f>AVERAGE(D26:O26)</f>
        <v>209.78298771121354</v>
      </c>
      <c r="Q26" s="43"/>
      <c r="R26" s="780"/>
      <c r="S26" s="779"/>
      <c r="T26" s="779"/>
      <c r="U26" s="779"/>
      <c r="V26" s="779"/>
    </row>
    <row r="27" spans="1:22">
      <c r="A27" s="638">
        <f t="shared" si="0"/>
        <v>23</v>
      </c>
      <c r="B27" s="653" t="s">
        <v>222</v>
      </c>
      <c r="C27" s="640" t="s">
        <v>203</v>
      </c>
      <c r="D27" s="655">
        <f t="shared" ref="D27:P27" si="11">SUM(D24:D26)</f>
        <v>47.725806451612904</v>
      </c>
      <c r="E27" s="655">
        <f t="shared" si="11"/>
        <v>349.5333333333333</v>
      </c>
      <c r="F27" s="655">
        <f t="shared" si="11"/>
        <v>687.35483870967744</v>
      </c>
      <c r="G27" s="655">
        <f t="shared" si="11"/>
        <v>576.61290322580646</v>
      </c>
      <c r="H27" s="655">
        <f t="shared" si="11"/>
        <v>775.01785714285711</v>
      </c>
      <c r="I27" s="655">
        <f t="shared" si="11"/>
        <v>1205.258064516129</v>
      </c>
      <c r="J27" s="655">
        <f t="shared" si="11"/>
        <v>1391.7833333333333</v>
      </c>
      <c r="K27" s="655">
        <f t="shared" si="11"/>
        <v>2558.5967741935483</v>
      </c>
      <c r="L27" s="655">
        <f t="shared" si="11"/>
        <v>3143.416666666667</v>
      </c>
      <c r="M27" s="655">
        <f t="shared" si="11"/>
        <v>1958.2258064516127</v>
      </c>
      <c r="N27" s="655">
        <f t="shared" si="11"/>
        <v>809.79032258064524</v>
      </c>
      <c r="O27" s="655">
        <f t="shared" si="11"/>
        <v>320.63333333333338</v>
      </c>
      <c r="P27" s="656">
        <f t="shared" si="11"/>
        <v>1151.9957533282131</v>
      </c>
      <c r="Q27" s="119"/>
      <c r="R27" s="780"/>
      <c r="S27" s="779"/>
      <c r="T27" s="779"/>
      <c r="U27" s="779"/>
      <c r="V27" s="779"/>
    </row>
    <row r="28" spans="1:22" ht="18.75" customHeight="1">
      <c r="A28" s="638">
        <f t="shared" si="0"/>
        <v>24</v>
      </c>
      <c r="B28" s="643" t="s">
        <v>47</v>
      </c>
      <c r="C28" s="640"/>
      <c r="D28" s="649"/>
      <c r="E28" s="649"/>
      <c r="F28" s="649"/>
      <c r="G28" s="645"/>
      <c r="H28" s="640"/>
      <c r="I28" s="649"/>
      <c r="J28" s="649"/>
      <c r="K28" s="649"/>
      <c r="L28" s="649"/>
      <c r="M28" s="649"/>
      <c r="N28" s="649"/>
      <c r="O28" s="649"/>
      <c r="P28" s="650"/>
      <c r="R28" s="780"/>
      <c r="S28" s="779"/>
      <c r="T28" s="779"/>
      <c r="U28" s="779"/>
      <c r="V28" s="779"/>
    </row>
    <row r="29" spans="1:22">
      <c r="A29" s="638">
        <f t="shared" si="0"/>
        <v>25</v>
      </c>
      <c r="B29" s="648" t="s">
        <v>649</v>
      </c>
      <c r="C29" s="644" t="s">
        <v>33</v>
      </c>
      <c r="D29" s="644"/>
      <c r="E29" s="644"/>
      <c r="F29" s="644"/>
      <c r="G29" s="644"/>
      <c r="H29" s="644"/>
      <c r="I29" s="646"/>
      <c r="J29" s="641"/>
      <c r="K29" s="641"/>
      <c r="L29" s="641"/>
      <c r="M29" s="641"/>
      <c r="N29" s="641"/>
      <c r="O29" s="641"/>
      <c r="P29" s="647"/>
      <c r="R29" s="118"/>
    </row>
    <row r="30" spans="1:22">
      <c r="A30" s="638">
        <f t="shared" si="0"/>
        <v>26</v>
      </c>
      <c r="B30" s="639" t="s">
        <v>104</v>
      </c>
      <c r="C30" s="640" t="s">
        <v>106</v>
      </c>
      <c r="D30" s="649">
        <f>D33*D$5</f>
        <v>15</v>
      </c>
      <c r="E30" s="649">
        <f t="shared" ref="E30:O30" si="12">E33*E$5</f>
        <v>5</v>
      </c>
      <c r="F30" s="649">
        <f t="shared" si="12"/>
        <v>60</v>
      </c>
      <c r="G30" s="649">
        <f t="shared" si="12"/>
        <v>25</v>
      </c>
      <c r="H30" s="649">
        <f t="shared" si="12"/>
        <v>5</v>
      </c>
      <c r="I30" s="649">
        <f t="shared" si="12"/>
        <v>35</v>
      </c>
      <c r="J30" s="649">
        <f t="shared" si="12"/>
        <v>20</v>
      </c>
      <c r="K30" s="649">
        <f t="shared" si="12"/>
        <v>20</v>
      </c>
      <c r="L30" s="649">
        <f t="shared" si="12"/>
        <v>40</v>
      </c>
      <c r="M30" s="649">
        <f t="shared" si="12"/>
        <v>35</v>
      </c>
      <c r="N30" s="649">
        <f t="shared" si="12"/>
        <v>15</v>
      </c>
      <c r="O30" s="649">
        <f t="shared" si="12"/>
        <v>10</v>
      </c>
      <c r="P30" s="650">
        <f>SUM(D30:O30)</f>
        <v>285</v>
      </c>
      <c r="Q30" s="17"/>
      <c r="R30" s="118"/>
    </row>
    <row r="31" spans="1:22">
      <c r="A31" s="638">
        <f t="shared" si="0"/>
        <v>27</v>
      </c>
      <c r="B31" s="639" t="s">
        <v>105</v>
      </c>
      <c r="C31" s="640" t="s">
        <v>106</v>
      </c>
      <c r="D31" s="649">
        <f>D34*D$5</f>
        <v>89.999999999999986</v>
      </c>
      <c r="E31" s="649">
        <f t="shared" ref="E31:O31" si="13">E34*E$5</f>
        <v>90</v>
      </c>
      <c r="F31" s="649">
        <f t="shared" si="13"/>
        <v>35</v>
      </c>
      <c r="G31" s="649">
        <f t="shared" si="13"/>
        <v>60</v>
      </c>
      <c r="H31" s="649">
        <f t="shared" si="13"/>
        <v>90</v>
      </c>
      <c r="I31" s="649">
        <f t="shared" si="13"/>
        <v>65</v>
      </c>
      <c r="J31" s="649">
        <f t="shared" si="13"/>
        <v>75</v>
      </c>
      <c r="K31" s="649">
        <f t="shared" si="13"/>
        <v>75</v>
      </c>
      <c r="L31" s="649">
        <f t="shared" si="13"/>
        <v>65</v>
      </c>
      <c r="M31" s="649">
        <f t="shared" si="13"/>
        <v>59.999999999999993</v>
      </c>
      <c r="N31" s="649">
        <f t="shared" si="13"/>
        <v>90</v>
      </c>
      <c r="O31" s="649">
        <f t="shared" si="13"/>
        <v>85</v>
      </c>
      <c r="P31" s="650">
        <f>SUM(D31:O31)</f>
        <v>880</v>
      </c>
      <c r="Q31" s="17"/>
      <c r="R31" s="118"/>
    </row>
    <row r="32" spans="1:22">
      <c r="A32" s="638">
        <f t="shared" si="0"/>
        <v>28</v>
      </c>
      <c r="B32" s="639" t="s">
        <v>45</v>
      </c>
      <c r="C32" s="640" t="s">
        <v>108</v>
      </c>
      <c r="D32" s="649">
        <f>D35*D$5*24</f>
        <v>12480</v>
      </c>
      <c r="E32" s="649">
        <f t="shared" ref="E32:O32" si="14">E35*E$5*24</f>
        <v>18456</v>
      </c>
      <c r="F32" s="649">
        <f t="shared" si="14"/>
        <v>22847.999999999996</v>
      </c>
      <c r="G32" s="649">
        <f t="shared" si="14"/>
        <v>28055.999999999993</v>
      </c>
      <c r="H32" s="649">
        <f t="shared" si="14"/>
        <v>30888</v>
      </c>
      <c r="I32" s="649">
        <f t="shared" si="14"/>
        <v>39768</v>
      </c>
      <c r="J32" s="649">
        <f t="shared" si="14"/>
        <v>41544</v>
      </c>
      <c r="K32" s="649">
        <f t="shared" si="14"/>
        <v>43128</v>
      </c>
      <c r="L32" s="649">
        <f t="shared" si="14"/>
        <v>35903.999999999993</v>
      </c>
      <c r="M32" s="649">
        <f t="shared" si="14"/>
        <v>55679.999999999985</v>
      </c>
      <c r="N32" s="649">
        <f t="shared" si="14"/>
        <v>33312</v>
      </c>
      <c r="O32" s="649">
        <f t="shared" si="14"/>
        <v>30407.999999999993</v>
      </c>
      <c r="P32" s="650">
        <f>SUM(D32:O32)</f>
        <v>392472</v>
      </c>
      <c r="Q32" s="17"/>
      <c r="R32" s="118"/>
    </row>
    <row r="33" spans="1:18" ht="20.25" customHeight="1">
      <c r="A33" s="638">
        <f t="shared" si="0"/>
        <v>29</v>
      </c>
      <c r="B33" s="639" t="s">
        <v>104</v>
      </c>
      <c r="C33" s="640" t="s">
        <v>203</v>
      </c>
      <c r="D33" s="649">
        <v>0.4838709677419355</v>
      </c>
      <c r="E33" s="649">
        <v>0.16666666666666666</v>
      </c>
      <c r="F33" s="649">
        <v>1.935483870967742</v>
      </c>
      <c r="G33" s="649">
        <v>0.80645161290322576</v>
      </c>
      <c r="H33" s="649">
        <v>0.17857142857142858</v>
      </c>
      <c r="I33" s="649">
        <v>1.129032258064516</v>
      </c>
      <c r="J33" s="649">
        <v>0.66666666666666663</v>
      </c>
      <c r="K33" s="649">
        <v>0.64516129032258063</v>
      </c>
      <c r="L33" s="649">
        <v>1.3333333333333333</v>
      </c>
      <c r="M33" s="649">
        <v>1.1290322580645162</v>
      </c>
      <c r="N33" s="649">
        <v>0.4838709677419355</v>
      </c>
      <c r="O33" s="649">
        <v>0.33333333333333331</v>
      </c>
      <c r="P33" s="650">
        <f>AVERAGE(D33:O33)</f>
        <v>0.77428955453149018</v>
      </c>
      <c r="Q33" s="43"/>
      <c r="R33" s="118"/>
    </row>
    <row r="34" spans="1:18">
      <c r="A34" s="638">
        <f t="shared" si="0"/>
        <v>30</v>
      </c>
      <c r="B34" s="639" t="s">
        <v>105</v>
      </c>
      <c r="C34" s="640" t="s">
        <v>203</v>
      </c>
      <c r="D34" s="649">
        <v>2.9032258064516125</v>
      </c>
      <c r="E34" s="649">
        <v>3</v>
      </c>
      <c r="F34" s="649">
        <v>1.129032258064516</v>
      </c>
      <c r="G34" s="649">
        <v>1.935483870967742</v>
      </c>
      <c r="H34" s="649">
        <v>3.2142857142857144</v>
      </c>
      <c r="I34" s="649">
        <v>2.096774193548387</v>
      </c>
      <c r="J34" s="649">
        <v>2.5</v>
      </c>
      <c r="K34" s="649">
        <v>2.4193548387096775</v>
      </c>
      <c r="L34" s="649">
        <v>2.1666666666666665</v>
      </c>
      <c r="M34" s="649">
        <v>1.9354838709677418</v>
      </c>
      <c r="N34" s="649">
        <v>2.903225806451613</v>
      </c>
      <c r="O34" s="649">
        <v>2.8333333333333335</v>
      </c>
      <c r="P34" s="650">
        <f>AVERAGE(D34:O34)</f>
        <v>2.4197388632872499</v>
      </c>
      <c r="Q34" s="43"/>
      <c r="R34" s="118"/>
    </row>
    <row r="35" spans="1:18">
      <c r="A35" s="638">
        <f t="shared" si="0"/>
        <v>31</v>
      </c>
      <c r="B35" s="639" t="s">
        <v>45</v>
      </c>
      <c r="C35" s="640" t="s">
        <v>203</v>
      </c>
      <c r="D35" s="649">
        <v>16.774193548387096</v>
      </c>
      <c r="E35" s="649">
        <v>25.633333333333333</v>
      </c>
      <c r="F35" s="649">
        <v>30.709677419354836</v>
      </c>
      <c r="G35" s="649">
        <v>37.709677419354833</v>
      </c>
      <c r="H35" s="649">
        <v>45.964285714285715</v>
      </c>
      <c r="I35" s="649">
        <v>53.451612903225808</v>
      </c>
      <c r="J35" s="649">
        <v>57.7</v>
      </c>
      <c r="K35" s="649">
        <v>57.967741935483872</v>
      </c>
      <c r="L35" s="649">
        <v>49.86666666666666</v>
      </c>
      <c r="M35" s="649">
        <v>74.838709677419345</v>
      </c>
      <c r="N35" s="649">
        <v>44.774193548387096</v>
      </c>
      <c r="O35" s="649">
        <v>42.233333333333327</v>
      </c>
      <c r="P35" s="650">
        <f>AVERAGE(D35:O35)</f>
        <v>44.801952124935987</v>
      </c>
      <c r="Q35" s="43"/>
      <c r="R35" s="118"/>
    </row>
    <row r="36" spans="1:18">
      <c r="A36" s="638">
        <f t="shared" si="0"/>
        <v>32</v>
      </c>
      <c r="B36" s="653" t="str">
        <f>CONCATENATE("Subtotal of "&amp;B29)</f>
        <v>Subtotal of FY 2022</v>
      </c>
      <c r="C36" s="640" t="s">
        <v>203</v>
      </c>
      <c r="D36" s="655">
        <f t="shared" ref="D36:P36" si="15">SUM(D33:D35)</f>
        <v>20.161290322580644</v>
      </c>
      <c r="E36" s="655">
        <f t="shared" si="15"/>
        <v>28.8</v>
      </c>
      <c r="F36" s="655">
        <f t="shared" si="15"/>
        <v>33.774193548387096</v>
      </c>
      <c r="G36" s="655">
        <f t="shared" si="15"/>
        <v>40.451612903225801</v>
      </c>
      <c r="H36" s="655">
        <f t="shared" si="15"/>
        <v>49.357142857142861</v>
      </c>
      <c r="I36" s="655">
        <f t="shared" si="15"/>
        <v>56.677419354838712</v>
      </c>
      <c r="J36" s="655">
        <f t="shared" si="15"/>
        <v>60.866666666666667</v>
      </c>
      <c r="K36" s="655">
        <f t="shared" si="15"/>
        <v>61.032258064516128</v>
      </c>
      <c r="L36" s="655">
        <f t="shared" si="15"/>
        <v>53.36666666666666</v>
      </c>
      <c r="M36" s="655">
        <f t="shared" si="15"/>
        <v>77.903225806451601</v>
      </c>
      <c r="N36" s="655">
        <f t="shared" si="15"/>
        <v>48.161290322580648</v>
      </c>
      <c r="O36" s="655">
        <f t="shared" si="15"/>
        <v>45.399999999999991</v>
      </c>
      <c r="P36" s="656">
        <f t="shared" si="15"/>
        <v>47.995980542754729</v>
      </c>
      <c r="Q36" s="119"/>
      <c r="R36" s="118"/>
    </row>
    <row r="37" spans="1:18" ht="16.5" customHeight="1">
      <c r="A37" s="638">
        <f t="shared" si="0"/>
        <v>33</v>
      </c>
      <c r="B37" s="648" t="s">
        <v>650</v>
      </c>
      <c r="C37" s="644" t="s">
        <v>33</v>
      </c>
      <c r="D37" s="644"/>
      <c r="E37" s="644"/>
      <c r="F37" s="644"/>
      <c r="G37" s="644"/>
      <c r="H37" s="644"/>
      <c r="I37" s="646"/>
      <c r="J37" s="641"/>
      <c r="K37" s="641"/>
      <c r="L37" s="641"/>
      <c r="M37" s="641"/>
      <c r="N37" s="641"/>
      <c r="O37" s="641"/>
      <c r="P37" s="647"/>
      <c r="R37" s="118"/>
    </row>
    <row r="38" spans="1:18" ht="15.75" customHeight="1">
      <c r="A38" s="638">
        <f t="shared" si="0"/>
        <v>34</v>
      </c>
      <c r="B38" s="639" t="s">
        <v>104</v>
      </c>
      <c r="C38" s="640" t="s">
        <v>106</v>
      </c>
      <c r="D38" s="649">
        <f>D41*D$5</f>
        <v>15</v>
      </c>
      <c r="E38" s="649">
        <f t="shared" ref="E38:O38" si="16">E41*E$5</f>
        <v>5</v>
      </c>
      <c r="F38" s="649">
        <f t="shared" si="16"/>
        <v>60</v>
      </c>
      <c r="G38" s="649">
        <f t="shared" si="16"/>
        <v>25</v>
      </c>
      <c r="H38" s="649">
        <f t="shared" si="16"/>
        <v>5</v>
      </c>
      <c r="I38" s="649">
        <f t="shared" si="16"/>
        <v>35</v>
      </c>
      <c r="J38" s="649">
        <f t="shared" si="16"/>
        <v>20</v>
      </c>
      <c r="K38" s="649">
        <f t="shared" si="16"/>
        <v>20</v>
      </c>
      <c r="L38" s="649">
        <f t="shared" si="16"/>
        <v>40</v>
      </c>
      <c r="M38" s="649">
        <f t="shared" si="16"/>
        <v>35</v>
      </c>
      <c r="N38" s="649">
        <f t="shared" si="16"/>
        <v>15</v>
      </c>
      <c r="O38" s="649">
        <f t="shared" si="16"/>
        <v>10</v>
      </c>
      <c r="P38" s="650">
        <f>SUM(D38:O38)</f>
        <v>285</v>
      </c>
      <c r="Q38" s="17"/>
      <c r="R38" s="118"/>
    </row>
    <row r="39" spans="1:18">
      <c r="A39" s="638">
        <f t="shared" si="0"/>
        <v>35</v>
      </c>
      <c r="B39" s="639" t="s">
        <v>105</v>
      </c>
      <c r="C39" s="640" t="s">
        <v>106</v>
      </c>
      <c r="D39" s="649">
        <f>D42*D$5</f>
        <v>89.999999999999986</v>
      </c>
      <c r="E39" s="649">
        <f t="shared" ref="E39:O39" si="17">E42*E$5</f>
        <v>90</v>
      </c>
      <c r="F39" s="649">
        <f t="shared" si="17"/>
        <v>35</v>
      </c>
      <c r="G39" s="649">
        <f t="shared" si="17"/>
        <v>60</v>
      </c>
      <c r="H39" s="649">
        <f t="shared" si="17"/>
        <v>90</v>
      </c>
      <c r="I39" s="649">
        <f t="shared" si="17"/>
        <v>65</v>
      </c>
      <c r="J39" s="649">
        <f t="shared" si="17"/>
        <v>75</v>
      </c>
      <c r="K39" s="649">
        <f t="shared" si="17"/>
        <v>75</v>
      </c>
      <c r="L39" s="649">
        <f t="shared" si="17"/>
        <v>65</v>
      </c>
      <c r="M39" s="649">
        <f t="shared" si="17"/>
        <v>59.999999999999993</v>
      </c>
      <c r="N39" s="649">
        <f t="shared" si="17"/>
        <v>90</v>
      </c>
      <c r="O39" s="649">
        <f t="shared" si="17"/>
        <v>85</v>
      </c>
      <c r="P39" s="650">
        <f>SUM(D39:O39)</f>
        <v>880</v>
      </c>
      <c r="Q39" s="17"/>
      <c r="R39" s="118"/>
    </row>
    <row r="40" spans="1:18" ht="15.75" customHeight="1">
      <c r="A40" s="638">
        <f t="shared" si="0"/>
        <v>36</v>
      </c>
      <c r="B40" s="639" t="s">
        <v>45</v>
      </c>
      <c r="C40" s="640" t="s">
        <v>108</v>
      </c>
      <c r="D40" s="649">
        <f>D43*D$5*24</f>
        <v>13128</v>
      </c>
      <c r="E40" s="649">
        <f t="shared" ref="E40:O40" si="18">E43*E$5*24</f>
        <v>18144</v>
      </c>
      <c r="F40" s="649">
        <f t="shared" si="18"/>
        <v>22296</v>
      </c>
      <c r="G40" s="649">
        <f t="shared" si="18"/>
        <v>28344</v>
      </c>
      <c r="H40" s="649">
        <f t="shared" si="18"/>
        <v>31488</v>
      </c>
      <c r="I40" s="649">
        <f t="shared" si="18"/>
        <v>42072.000000000007</v>
      </c>
      <c r="J40" s="649">
        <f t="shared" si="18"/>
        <v>42528</v>
      </c>
      <c r="K40" s="649">
        <f t="shared" si="18"/>
        <v>43655.999999999993</v>
      </c>
      <c r="L40" s="649">
        <f t="shared" si="18"/>
        <v>37079.999999999993</v>
      </c>
      <c r="M40" s="649">
        <f t="shared" si="18"/>
        <v>56496</v>
      </c>
      <c r="N40" s="649">
        <f t="shared" si="18"/>
        <v>34055.999999999993</v>
      </c>
      <c r="O40" s="649">
        <f t="shared" si="18"/>
        <v>30935.999999999993</v>
      </c>
      <c r="P40" s="650">
        <f>SUM(D40:O40)</f>
        <v>400224</v>
      </c>
      <c r="Q40" s="17"/>
      <c r="R40" s="118"/>
    </row>
    <row r="41" spans="1:18" ht="20.25" customHeight="1">
      <c r="A41" s="638">
        <f t="shared" si="0"/>
        <v>37</v>
      </c>
      <c r="B41" s="639" t="s">
        <v>104</v>
      </c>
      <c r="C41" s="640" t="s">
        <v>203</v>
      </c>
      <c r="D41" s="649">
        <v>0.4838709677419355</v>
      </c>
      <c r="E41" s="649">
        <v>0.16666666666666666</v>
      </c>
      <c r="F41" s="649">
        <v>1.935483870967742</v>
      </c>
      <c r="G41" s="649">
        <v>0.80645161290322576</v>
      </c>
      <c r="H41" s="649">
        <v>0.17857142857142858</v>
      </c>
      <c r="I41" s="649">
        <v>1.129032258064516</v>
      </c>
      <c r="J41" s="649">
        <v>0.66666666666666663</v>
      </c>
      <c r="K41" s="649">
        <v>0.64516129032258063</v>
      </c>
      <c r="L41" s="649">
        <v>1.3333333333333333</v>
      </c>
      <c r="M41" s="649">
        <v>1.1290322580645162</v>
      </c>
      <c r="N41" s="649">
        <v>0.4838709677419355</v>
      </c>
      <c r="O41" s="649">
        <v>0.33333333333333331</v>
      </c>
      <c r="P41" s="650">
        <f>AVERAGE(D41:O41)</f>
        <v>0.77428955453149018</v>
      </c>
      <c r="Q41" s="43"/>
      <c r="R41" s="118"/>
    </row>
    <row r="42" spans="1:18">
      <c r="A42" s="638">
        <f t="shared" si="0"/>
        <v>38</v>
      </c>
      <c r="B42" s="639" t="s">
        <v>105</v>
      </c>
      <c r="C42" s="640" t="s">
        <v>203</v>
      </c>
      <c r="D42" s="649">
        <v>2.9032258064516125</v>
      </c>
      <c r="E42" s="649">
        <v>3</v>
      </c>
      <c r="F42" s="649">
        <v>1.129032258064516</v>
      </c>
      <c r="G42" s="649">
        <v>1.935483870967742</v>
      </c>
      <c r="H42" s="649">
        <v>3.2142857142857144</v>
      </c>
      <c r="I42" s="649">
        <v>2.096774193548387</v>
      </c>
      <c r="J42" s="649">
        <v>2.5</v>
      </c>
      <c r="K42" s="649">
        <v>2.4193548387096775</v>
      </c>
      <c r="L42" s="649">
        <v>2.1666666666666665</v>
      </c>
      <c r="M42" s="649">
        <v>1.9354838709677418</v>
      </c>
      <c r="N42" s="649">
        <v>2.903225806451613</v>
      </c>
      <c r="O42" s="649">
        <v>2.8333333333333335</v>
      </c>
      <c r="P42" s="650">
        <f>AVERAGE(D42:O42)</f>
        <v>2.4197388632872499</v>
      </c>
      <c r="Q42" s="43"/>
      <c r="R42" s="118"/>
    </row>
    <row r="43" spans="1:18">
      <c r="A43" s="638">
        <f t="shared" si="0"/>
        <v>39</v>
      </c>
      <c r="B43" s="639" t="s">
        <v>45</v>
      </c>
      <c r="C43" s="640" t="s">
        <v>203</v>
      </c>
      <c r="D43" s="649">
        <v>17.64516129032258</v>
      </c>
      <c r="E43" s="649">
        <v>25.2</v>
      </c>
      <c r="F43" s="649">
        <v>29.967741935483872</v>
      </c>
      <c r="G43" s="649">
        <v>38.096774193548384</v>
      </c>
      <c r="H43" s="649">
        <v>46.857142857142854</v>
      </c>
      <c r="I43" s="649">
        <v>56.548387096774199</v>
      </c>
      <c r="J43" s="649">
        <v>59.066666666666663</v>
      </c>
      <c r="K43" s="649">
        <v>58.677419354838705</v>
      </c>
      <c r="L43" s="649">
        <v>51.499999999999993</v>
      </c>
      <c r="M43" s="649">
        <v>75.935483870967744</v>
      </c>
      <c r="N43" s="649">
        <v>45.774193548387089</v>
      </c>
      <c r="O43" s="649">
        <v>42.966666666666661</v>
      </c>
      <c r="P43" s="650">
        <f>AVERAGE(D43:O43)</f>
        <v>45.686303123399902</v>
      </c>
      <c r="Q43" s="43"/>
      <c r="R43" s="118"/>
    </row>
    <row r="44" spans="1:18">
      <c r="A44" s="638">
        <f t="shared" si="0"/>
        <v>40</v>
      </c>
      <c r="B44" s="653" t="str">
        <f>CONCATENATE("Subtotal of "&amp;B37)</f>
        <v>Subtotal of FY 2023</v>
      </c>
      <c r="C44" s="640" t="s">
        <v>203</v>
      </c>
      <c r="D44" s="655">
        <f t="shared" ref="D44:P44" si="19">SUM(D41:D43)</f>
        <v>21.032258064516128</v>
      </c>
      <c r="E44" s="655">
        <f t="shared" si="19"/>
        <v>28.366666666666667</v>
      </c>
      <c r="F44" s="655">
        <f t="shared" si="19"/>
        <v>33.032258064516128</v>
      </c>
      <c r="G44" s="655">
        <f t="shared" si="19"/>
        <v>40.838709677419352</v>
      </c>
      <c r="H44" s="655">
        <f t="shared" si="19"/>
        <v>50.25</v>
      </c>
      <c r="I44" s="655">
        <f t="shared" si="19"/>
        <v>59.774193548387103</v>
      </c>
      <c r="J44" s="655">
        <f t="shared" si="19"/>
        <v>62.233333333333327</v>
      </c>
      <c r="K44" s="655">
        <f t="shared" si="19"/>
        <v>61.741935483870961</v>
      </c>
      <c r="L44" s="655">
        <f t="shared" si="19"/>
        <v>54.999999999999993</v>
      </c>
      <c r="M44" s="655">
        <f t="shared" si="19"/>
        <v>79</v>
      </c>
      <c r="N44" s="655">
        <f t="shared" si="19"/>
        <v>49.161290322580641</v>
      </c>
      <c r="O44" s="655">
        <f t="shared" si="19"/>
        <v>46.133333333333326</v>
      </c>
      <c r="P44" s="656">
        <f t="shared" si="19"/>
        <v>48.880331541218645</v>
      </c>
      <c r="Q44" s="119"/>
      <c r="R44" s="118"/>
    </row>
    <row r="45" spans="1:18" ht="19.5" customHeight="1">
      <c r="A45" s="638">
        <f t="shared" si="0"/>
        <v>41</v>
      </c>
      <c r="B45" s="648" t="s">
        <v>122</v>
      </c>
      <c r="C45" s="644"/>
      <c r="D45" s="644"/>
      <c r="E45" s="644"/>
      <c r="F45" s="644"/>
      <c r="G45" s="644"/>
      <c r="H45" s="644"/>
      <c r="I45" s="646"/>
      <c r="J45" s="641"/>
      <c r="K45" s="641"/>
      <c r="L45" s="641"/>
      <c r="M45" s="641"/>
      <c r="N45" s="641"/>
      <c r="O45" s="641"/>
      <c r="P45" s="647"/>
      <c r="R45" s="118"/>
    </row>
    <row r="46" spans="1:18">
      <c r="A46" s="638">
        <f t="shared" si="0"/>
        <v>42</v>
      </c>
      <c r="B46" s="639" t="s">
        <v>104</v>
      </c>
      <c r="C46" s="640" t="s">
        <v>203</v>
      </c>
      <c r="D46" s="649">
        <f>AVERAGE(D33,D41)</f>
        <v>0.4838709677419355</v>
      </c>
      <c r="E46" s="649">
        <f t="shared" ref="E46:O46" si="20">AVERAGE(E33,E41)</f>
        <v>0.16666666666666666</v>
      </c>
      <c r="F46" s="649">
        <f t="shared" si="20"/>
        <v>1.935483870967742</v>
      </c>
      <c r="G46" s="649">
        <f t="shared" si="20"/>
        <v>0.80645161290322576</v>
      </c>
      <c r="H46" s="649">
        <f t="shared" si="20"/>
        <v>0.17857142857142858</v>
      </c>
      <c r="I46" s="649">
        <f t="shared" si="20"/>
        <v>1.129032258064516</v>
      </c>
      <c r="J46" s="649">
        <f t="shared" si="20"/>
        <v>0.66666666666666663</v>
      </c>
      <c r="K46" s="649">
        <f t="shared" si="20"/>
        <v>0.64516129032258063</v>
      </c>
      <c r="L46" s="649">
        <f t="shared" si="20"/>
        <v>1.3333333333333333</v>
      </c>
      <c r="M46" s="649">
        <f t="shared" si="20"/>
        <v>1.1290322580645162</v>
      </c>
      <c r="N46" s="649">
        <f t="shared" si="20"/>
        <v>0.4838709677419355</v>
      </c>
      <c r="O46" s="649">
        <f t="shared" si="20"/>
        <v>0.33333333333333331</v>
      </c>
      <c r="P46" s="650">
        <f>AVERAGE(D46:O46)</f>
        <v>0.77428955453149018</v>
      </c>
      <c r="R46" s="118"/>
    </row>
    <row r="47" spans="1:18">
      <c r="A47" s="638">
        <f t="shared" si="0"/>
        <v>43</v>
      </c>
      <c r="B47" s="639" t="s">
        <v>105</v>
      </c>
      <c r="C47" s="640" t="s">
        <v>203</v>
      </c>
      <c r="D47" s="649">
        <f t="shared" ref="D47:O48" si="21">AVERAGE(D34,D42)</f>
        <v>2.9032258064516125</v>
      </c>
      <c r="E47" s="649">
        <f t="shared" si="21"/>
        <v>3</v>
      </c>
      <c r="F47" s="649">
        <f t="shared" si="21"/>
        <v>1.129032258064516</v>
      </c>
      <c r="G47" s="649">
        <f t="shared" si="21"/>
        <v>1.935483870967742</v>
      </c>
      <c r="H47" s="649">
        <f t="shared" si="21"/>
        <v>3.2142857142857144</v>
      </c>
      <c r="I47" s="649">
        <f t="shared" si="21"/>
        <v>2.096774193548387</v>
      </c>
      <c r="J47" s="649">
        <f t="shared" si="21"/>
        <v>2.5</v>
      </c>
      <c r="K47" s="649">
        <f t="shared" si="21"/>
        <v>2.4193548387096775</v>
      </c>
      <c r="L47" s="649">
        <f t="shared" si="21"/>
        <v>2.1666666666666665</v>
      </c>
      <c r="M47" s="649">
        <f t="shared" si="21"/>
        <v>1.9354838709677418</v>
      </c>
      <c r="N47" s="649">
        <f t="shared" si="21"/>
        <v>2.903225806451613</v>
      </c>
      <c r="O47" s="649">
        <f t="shared" si="21"/>
        <v>2.8333333333333335</v>
      </c>
      <c r="P47" s="650">
        <f>AVERAGE(D47:O47)</f>
        <v>2.4197388632872499</v>
      </c>
      <c r="Q47" s="43"/>
      <c r="R47" s="118"/>
    </row>
    <row r="48" spans="1:18">
      <c r="A48" s="638">
        <f t="shared" si="0"/>
        <v>44</v>
      </c>
      <c r="B48" s="639" t="s">
        <v>45</v>
      </c>
      <c r="C48" s="640" t="s">
        <v>203</v>
      </c>
      <c r="D48" s="649">
        <f t="shared" si="21"/>
        <v>17.20967741935484</v>
      </c>
      <c r="E48" s="649">
        <f t="shared" si="21"/>
        <v>25.416666666666664</v>
      </c>
      <c r="F48" s="649">
        <f t="shared" si="21"/>
        <v>30.338709677419352</v>
      </c>
      <c r="G48" s="649">
        <f t="shared" si="21"/>
        <v>37.903225806451609</v>
      </c>
      <c r="H48" s="649">
        <f t="shared" si="21"/>
        <v>46.410714285714285</v>
      </c>
      <c r="I48" s="649">
        <f t="shared" si="21"/>
        <v>55</v>
      </c>
      <c r="J48" s="649">
        <f t="shared" si="21"/>
        <v>58.383333333333333</v>
      </c>
      <c r="K48" s="649">
        <f t="shared" si="21"/>
        <v>58.322580645161288</v>
      </c>
      <c r="L48" s="649">
        <f t="shared" si="21"/>
        <v>50.683333333333323</v>
      </c>
      <c r="M48" s="649">
        <f t="shared" si="21"/>
        <v>75.387096774193537</v>
      </c>
      <c r="N48" s="649">
        <f t="shared" si="21"/>
        <v>45.274193548387089</v>
      </c>
      <c r="O48" s="649">
        <f t="shared" si="21"/>
        <v>42.599999999999994</v>
      </c>
      <c r="P48" s="650">
        <f>AVERAGE(D48:O48)</f>
        <v>45.244127624167938</v>
      </c>
      <c r="Q48" s="43"/>
      <c r="R48" s="118"/>
    </row>
    <row r="49" spans="1:22">
      <c r="A49" s="638">
        <f t="shared" si="0"/>
        <v>45</v>
      </c>
      <c r="B49" s="653" t="s">
        <v>222</v>
      </c>
      <c r="C49" s="640" t="s">
        <v>203</v>
      </c>
      <c r="D49" s="655">
        <f>SUM(D46:D48)</f>
        <v>20.596774193548388</v>
      </c>
      <c r="E49" s="655">
        <f t="shared" ref="E49:O49" si="22">SUM(E46:E48)</f>
        <v>28.583333333333332</v>
      </c>
      <c r="F49" s="655">
        <f t="shared" si="22"/>
        <v>33.403225806451609</v>
      </c>
      <c r="G49" s="655">
        <f t="shared" si="22"/>
        <v>40.645161290322577</v>
      </c>
      <c r="H49" s="655">
        <f t="shared" si="22"/>
        <v>49.803571428571431</v>
      </c>
      <c r="I49" s="655">
        <f t="shared" si="22"/>
        <v>58.225806451612904</v>
      </c>
      <c r="J49" s="655">
        <f t="shared" si="22"/>
        <v>61.55</v>
      </c>
      <c r="K49" s="655">
        <f t="shared" si="22"/>
        <v>61.387096774193544</v>
      </c>
      <c r="L49" s="655">
        <f t="shared" si="22"/>
        <v>54.183333333333323</v>
      </c>
      <c r="M49" s="655">
        <f t="shared" si="22"/>
        <v>78.451612903225794</v>
      </c>
      <c r="N49" s="655">
        <f t="shared" si="22"/>
        <v>48.661290322580641</v>
      </c>
      <c r="O49" s="655">
        <f t="shared" si="22"/>
        <v>45.766666666666659</v>
      </c>
      <c r="P49" s="656">
        <f>SUM(P46:P48)</f>
        <v>48.43815604198668</v>
      </c>
      <c r="Q49" s="119"/>
      <c r="R49" s="118"/>
    </row>
    <row r="50" spans="1:22" ht="18.75" customHeight="1">
      <c r="A50" s="657"/>
      <c r="B50" s="642" t="s">
        <v>189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50"/>
    </row>
    <row r="51" spans="1:22">
      <c r="A51" s="658"/>
      <c r="B51" s="642" t="s">
        <v>311</v>
      </c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650"/>
    </row>
    <row r="53" spans="1:22">
      <c r="A53" s="96"/>
      <c r="B53" s="120"/>
      <c r="C53" s="94"/>
      <c r="D53" s="121"/>
      <c r="E53" s="121"/>
      <c r="F53" s="121"/>
      <c r="G53" s="121"/>
      <c r="H53" s="121"/>
      <c r="I53" s="122"/>
      <c r="J53" s="122"/>
      <c r="K53" s="122"/>
      <c r="L53" s="122"/>
      <c r="M53" s="122"/>
      <c r="N53" s="122"/>
      <c r="O53" s="122"/>
      <c r="P53" s="95"/>
      <c r="Q53" s="123"/>
      <c r="R53" s="95"/>
      <c r="S53" s="95"/>
      <c r="T53" s="95"/>
      <c r="U53" s="95"/>
      <c r="V53" s="95"/>
    </row>
    <row r="54" spans="1:22">
      <c r="A54" s="96"/>
      <c r="B54" s="120"/>
      <c r="C54" s="94"/>
      <c r="D54" s="94"/>
      <c r="E54" s="94"/>
      <c r="F54" s="94"/>
      <c r="G54" s="94"/>
      <c r="H54" s="94"/>
      <c r="I54" s="124"/>
      <c r="J54" s="124"/>
      <c r="K54" s="124"/>
      <c r="L54" s="124"/>
      <c r="M54" s="124"/>
      <c r="N54" s="124"/>
      <c r="O54" s="124"/>
      <c r="P54" s="95"/>
      <c r="Q54" s="123"/>
      <c r="R54" s="95"/>
      <c r="S54" s="95"/>
      <c r="T54" s="95"/>
      <c r="U54" s="95"/>
      <c r="V54" s="95"/>
    </row>
    <row r="55" spans="1:22">
      <c r="A55" s="96"/>
      <c r="B55" s="98"/>
      <c r="C55" s="109"/>
      <c r="D55" s="109"/>
      <c r="E55" s="109"/>
      <c r="F55" s="109"/>
      <c r="G55" s="109"/>
      <c r="H55" s="109"/>
      <c r="I55" s="125"/>
      <c r="J55" s="124"/>
      <c r="K55" s="124"/>
      <c r="L55" s="124"/>
      <c r="M55" s="124"/>
      <c r="N55" s="124"/>
      <c r="O55" s="124"/>
      <c r="P55" s="95"/>
      <c r="Q55" s="123"/>
      <c r="R55" s="95"/>
      <c r="S55" s="95"/>
      <c r="T55" s="95"/>
      <c r="U55" s="95"/>
      <c r="V55" s="95"/>
    </row>
    <row r="56" spans="1:22">
      <c r="A56" s="96"/>
      <c r="B56" s="126"/>
      <c r="C56" s="94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03"/>
      <c r="Q56" s="123"/>
      <c r="R56" s="95"/>
      <c r="S56" s="95"/>
      <c r="T56" s="95"/>
      <c r="U56" s="95"/>
      <c r="V56" s="95"/>
    </row>
    <row r="57" spans="1:22">
      <c r="A57" s="96"/>
      <c r="B57" s="126"/>
      <c r="C57" s="94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03"/>
      <c r="Q57" s="123"/>
      <c r="R57" s="95"/>
      <c r="S57" s="95"/>
      <c r="T57" s="95"/>
      <c r="U57" s="95"/>
      <c r="V57" s="95"/>
    </row>
    <row r="58" spans="1:22">
      <c r="A58" s="96"/>
      <c r="B58" s="126"/>
      <c r="C58" s="94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03"/>
      <c r="Q58" s="123"/>
      <c r="R58" s="95"/>
      <c r="S58" s="95"/>
      <c r="T58" s="95"/>
      <c r="U58" s="95"/>
      <c r="V58" s="95"/>
    </row>
    <row r="59" spans="1:22">
      <c r="A59" s="96"/>
      <c r="B59" s="126"/>
      <c r="C59" s="94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03"/>
      <c r="Q59" s="123"/>
      <c r="R59" s="95"/>
      <c r="S59" s="95"/>
      <c r="T59" s="95"/>
      <c r="U59" s="95"/>
      <c r="V59" s="95"/>
    </row>
    <row r="60" spans="1:22">
      <c r="A60" s="96"/>
      <c r="B60" s="126"/>
      <c r="C60" s="94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03"/>
      <c r="Q60" s="123"/>
      <c r="R60" s="95"/>
      <c r="S60" s="95"/>
      <c r="T60" s="95"/>
      <c r="U60" s="95"/>
      <c r="V60" s="95"/>
    </row>
    <row r="61" spans="1:22">
      <c r="A61" s="96"/>
      <c r="B61" s="129"/>
      <c r="C61" s="94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03"/>
      <c r="Q61" s="123"/>
      <c r="R61" s="95"/>
      <c r="S61" s="95"/>
      <c r="T61" s="95"/>
      <c r="U61" s="95"/>
      <c r="V61" s="95"/>
    </row>
    <row r="62" spans="1:22">
      <c r="A62" s="96"/>
      <c r="B62" s="129"/>
      <c r="C62" s="94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03"/>
      <c r="Q62" s="123"/>
      <c r="R62" s="95"/>
      <c r="S62" s="95"/>
      <c r="T62" s="95"/>
      <c r="U62" s="95"/>
      <c r="V62" s="95"/>
    </row>
    <row r="63" spans="1:22">
      <c r="A63" s="96"/>
      <c r="B63" s="129"/>
      <c r="C63" s="94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03"/>
      <c r="Q63" s="123"/>
      <c r="R63" s="95"/>
      <c r="S63" s="95"/>
      <c r="T63" s="95"/>
      <c r="U63" s="95"/>
      <c r="V63" s="95"/>
    </row>
    <row r="64" spans="1:22">
      <c r="A64" s="96"/>
      <c r="B64" s="129"/>
      <c r="C64" s="94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03"/>
      <c r="Q64" s="123"/>
      <c r="R64" s="95"/>
      <c r="S64" s="95"/>
      <c r="T64" s="95"/>
      <c r="U64" s="95"/>
      <c r="V64" s="95"/>
    </row>
    <row r="65" spans="1:22">
      <c r="A65" s="96"/>
      <c r="B65" s="130"/>
      <c r="C65" s="94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1"/>
      <c r="Q65" s="123"/>
      <c r="R65" s="95"/>
      <c r="S65" s="95"/>
      <c r="T65" s="95"/>
      <c r="U65" s="95"/>
      <c r="V65" s="95"/>
    </row>
    <row r="66" spans="1:22">
      <c r="A66" s="96"/>
      <c r="B66" s="92"/>
      <c r="C66" s="94"/>
      <c r="D66" s="94"/>
      <c r="E66" s="94"/>
      <c r="F66" s="94"/>
      <c r="G66" s="94"/>
      <c r="H66" s="94"/>
      <c r="I66" s="124"/>
      <c r="J66" s="124"/>
      <c r="K66" s="124"/>
      <c r="L66" s="124"/>
      <c r="M66" s="124"/>
      <c r="N66" s="124"/>
      <c r="O66" s="124"/>
      <c r="P66" s="95"/>
      <c r="Q66" s="123"/>
      <c r="R66" s="95"/>
      <c r="S66" s="95"/>
      <c r="T66" s="95"/>
      <c r="U66" s="95"/>
      <c r="V66" s="95"/>
    </row>
    <row r="67" spans="1:22">
      <c r="A67" s="96"/>
      <c r="B67" s="126"/>
      <c r="C67" s="94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03"/>
      <c r="Q67" s="123"/>
      <c r="R67" s="95"/>
      <c r="S67" s="95"/>
      <c r="T67" s="95"/>
      <c r="U67" s="95"/>
      <c r="V67" s="95"/>
    </row>
    <row r="68" spans="1:22">
      <c r="A68" s="96"/>
      <c r="B68" s="126"/>
      <c r="C68" s="94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03"/>
      <c r="Q68" s="123"/>
      <c r="R68" s="95"/>
      <c r="S68" s="95"/>
      <c r="T68" s="95"/>
      <c r="U68" s="95"/>
      <c r="V68" s="95"/>
    </row>
    <row r="69" spans="1:22">
      <c r="A69" s="96"/>
      <c r="B69" s="126"/>
      <c r="C69" s="94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03"/>
      <c r="Q69" s="123"/>
      <c r="R69" s="95"/>
      <c r="S69" s="95"/>
      <c r="T69" s="95"/>
      <c r="U69" s="95"/>
      <c r="V69" s="95"/>
    </row>
    <row r="70" spans="1:22">
      <c r="A70" s="96"/>
      <c r="B70" s="126"/>
      <c r="C70" s="94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03"/>
      <c r="Q70" s="123"/>
      <c r="R70" s="95"/>
      <c r="S70" s="95"/>
      <c r="T70" s="95"/>
      <c r="U70" s="95"/>
      <c r="V70" s="95"/>
    </row>
    <row r="71" spans="1:22">
      <c r="A71" s="96"/>
      <c r="B71" s="126"/>
      <c r="C71" s="94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03"/>
      <c r="Q71" s="123"/>
      <c r="R71" s="95"/>
      <c r="S71" s="95"/>
      <c r="T71" s="95"/>
      <c r="U71" s="95"/>
      <c r="V71" s="95"/>
    </row>
    <row r="72" spans="1:22">
      <c r="A72" s="96"/>
      <c r="B72" s="129"/>
      <c r="C72" s="9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03"/>
      <c r="Q72" s="123"/>
      <c r="R72" s="95"/>
      <c r="S72" s="95"/>
      <c r="T72" s="95"/>
      <c r="U72" s="95"/>
      <c r="V72" s="95"/>
    </row>
    <row r="73" spans="1:22">
      <c r="A73" s="96"/>
      <c r="B73" s="129"/>
      <c r="C73" s="9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03"/>
      <c r="Q73" s="123"/>
      <c r="R73" s="95"/>
      <c r="S73" s="95"/>
      <c r="T73" s="95"/>
      <c r="U73" s="95"/>
      <c r="V73" s="95"/>
    </row>
    <row r="74" spans="1:22">
      <c r="A74" s="96"/>
      <c r="B74" s="129"/>
      <c r="C74" s="9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03"/>
      <c r="Q74" s="123"/>
      <c r="R74" s="95"/>
      <c r="S74" s="95"/>
      <c r="T74" s="95"/>
      <c r="U74" s="95"/>
      <c r="V74" s="95"/>
    </row>
    <row r="75" spans="1:22">
      <c r="A75" s="96"/>
      <c r="B75" s="129"/>
      <c r="C75" s="9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03"/>
      <c r="Q75" s="123"/>
      <c r="R75" s="95"/>
      <c r="S75" s="95"/>
      <c r="T75" s="95"/>
      <c r="U75" s="95"/>
      <c r="V75" s="95"/>
    </row>
    <row r="76" spans="1:22">
      <c r="A76" s="96"/>
      <c r="B76" s="130"/>
      <c r="C76" s="9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11"/>
      <c r="Q76" s="123"/>
      <c r="R76" s="95"/>
      <c r="S76" s="95"/>
      <c r="T76" s="95"/>
      <c r="U76" s="95"/>
      <c r="V76" s="95"/>
    </row>
    <row r="77" spans="1:22">
      <c r="A77" s="96"/>
      <c r="B77" s="120"/>
      <c r="C77" s="94"/>
      <c r="D77" s="94"/>
      <c r="E77" s="94"/>
      <c r="F77" s="94"/>
      <c r="G77" s="94"/>
      <c r="H77" s="94"/>
      <c r="I77" s="124"/>
      <c r="J77" s="124"/>
      <c r="K77" s="124"/>
      <c r="L77" s="124"/>
      <c r="M77" s="124"/>
      <c r="N77" s="124"/>
      <c r="O77" s="124"/>
      <c r="P77" s="95"/>
      <c r="Q77" s="123"/>
      <c r="R77" s="95"/>
      <c r="S77" s="95"/>
      <c r="T77" s="95"/>
      <c r="U77" s="95"/>
      <c r="V77" s="95"/>
    </row>
    <row r="78" spans="1:22">
      <c r="A78" s="96"/>
      <c r="B78" s="120"/>
      <c r="C78" s="94"/>
      <c r="D78" s="94"/>
      <c r="E78" s="94"/>
      <c r="F78" s="94"/>
      <c r="G78" s="94"/>
      <c r="H78" s="94"/>
      <c r="I78" s="124"/>
      <c r="J78" s="124"/>
      <c r="K78" s="124"/>
      <c r="L78" s="124"/>
      <c r="M78" s="124"/>
      <c r="N78" s="124"/>
      <c r="O78" s="124"/>
      <c r="P78" s="103"/>
      <c r="Q78" s="123"/>
      <c r="R78" s="95"/>
      <c r="S78" s="95"/>
      <c r="T78" s="95"/>
      <c r="U78" s="95"/>
      <c r="V78" s="95"/>
    </row>
    <row r="79" spans="1:22">
      <c r="A79" s="96"/>
      <c r="B79" s="120"/>
      <c r="C79" s="94"/>
      <c r="D79" s="94"/>
      <c r="E79" s="94"/>
      <c r="F79" s="94"/>
      <c r="G79" s="94"/>
      <c r="H79" s="94"/>
      <c r="I79" s="124"/>
      <c r="J79" s="124"/>
      <c r="K79" s="124"/>
      <c r="L79" s="124"/>
      <c r="M79" s="124"/>
      <c r="N79" s="124"/>
      <c r="O79" s="124"/>
      <c r="P79" s="103"/>
      <c r="Q79" s="123"/>
      <c r="R79" s="95"/>
      <c r="S79" s="95"/>
      <c r="T79" s="95"/>
      <c r="U79" s="95"/>
      <c r="V79" s="95"/>
    </row>
    <row r="80" spans="1:22">
      <c r="A80" s="96"/>
      <c r="B80" s="120"/>
      <c r="C80" s="94"/>
      <c r="D80" s="94"/>
      <c r="E80" s="94"/>
      <c r="F80" s="94"/>
      <c r="G80" s="94"/>
      <c r="H80" s="94"/>
      <c r="I80" s="124"/>
      <c r="J80" s="124"/>
      <c r="K80" s="124"/>
      <c r="L80" s="124"/>
      <c r="M80" s="124"/>
      <c r="N80" s="124"/>
      <c r="O80" s="124"/>
      <c r="P80" s="103"/>
      <c r="Q80" s="123"/>
      <c r="R80" s="95"/>
      <c r="S80" s="95"/>
      <c r="T80" s="95"/>
      <c r="U80" s="95"/>
      <c r="V80" s="95"/>
    </row>
    <row r="81" spans="1:22">
      <c r="A81" s="96"/>
      <c r="B81" s="120"/>
      <c r="C81" s="94"/>
      <c r="D81" s="94"/>
      <c r="E81" s="94"/>
      <c r="F81" s="94"/>
      <c r="G81" s="94"/>
      <c r="H81" s="94"/>
      <c r="I81" s="124"/>
      <c r="J81" s="124"/>
      <c r="K81" s="124"/>
      <c r="L81" s="124"/>
      <c r="M81" s="124"/>
      <c r="N81" s="124"/>
      <c r="O81" s="124"/>
      <c r="P81" s="95"/>
      <c r="Q81" s="123"/>
      <c r="R81" s="95"/>
      <c r="S81" s="95"/>
      <c r="T81" s="95"/>
      <c r="U81" s="95"/>
      <c r="V81" s="95"/>
    </row>
    <row r="82" spans="1:22">
      <c r="A82" s="96"/>
      <c r="B82" s="120"/>
      <c r="C82" s="94"/>
      <c r="D82" s="94"/>
      <c r="E82" s="94"/>
      <c r="F82" s="94"/>
      <c r="G82" s="94"/>
      <c r="H82" s="94"/>
      <c r="I82" s="124"/>
      <c r="J82" s="124"/>
      <c r="K82" s="124"/>
      <c r="L82" s="124"/>
      <c r="M82" s="124"/>
      <c r="N82" s="124"/>
      <c r="O82" s="124"/>
      <c r="P82" s="95"/>
      <c r="Q82" s="123"/>
      <c r="R82" s="95"/>
      <c r="S82" s="95"/>
      <c r="T82" s="95"/>
      <c r="U82" s="95"/>
      <c r="V82" s="95"/>
    </row>
    <row r="83" spans="1:22">
      <c r="A83" s="96"/>
      <c r="B83" s="120"/>
      <c r="C83" s="94"/>
      <c r="D83" s="94"/>
      <c r="E83" s="94"/>
      <c r="F83" s="94"/>
      <c r="G83" s="94"/>
      <c r="H83" s="94"/>
      <c r="I83" s="124"/>
      <c r="J83" s="124"/>
      <c r="K83" s="124"/>
      <c r="L83" s="124"/>
      <c r="M83" s="124"/>
      <c r="N83" s="124"/>
      <c r="O83" s="124"/>
      <c r="P83" s="95"/>
      <c r="Q83" s="123"/>
      <c r="R83" s="95"/>
      <c r="S83" s="95"/>
      <c r="T83" s="95"/>
      <c r="U83" s="95"/>
      <c r="V83" s="95"/>
    </row>
    <row r="84" spans="1:22">
      <c r="A84" s="96"/>
      <c r="B84" s="120"/>
      <c r="C84" s="94"/>
      <c r="D84" s="94"/>
      <c r="E84" s="94"/>
      <c r="F84" s="94"/>
      <c r="G84" s="94"/>
      <c r="H84" s="94"/>
      <c r="I84" s="124"/>
      <c r="J84" s="124"/>
      <c r="K84" s="124"/>
      <c r="L84" s="124"/>
      <c r="M84" s="124"/>
      <c r="N84" s="124"/>
      <c r="O84" s="124"/>
      <c r="P84" s="95"/>
      <c r="Q84" s="123"/>
      <c r="R84" s="95"/>
      <c r="S84" s="95"/>
      <c r="T84" s="95"/>
      <c r="U84" s="95"/>
      <c r="V84" s="95"/>
    </row>
  </sheetData>
  <mergeCells count="2">
    <mergeCell ref="A1:P1"/>
    <mergeCell ref="A2:P2"/>
  </mergeCells>
  <phoneticPr fontId="22" type="noConversion"/>
  <printOptions horizontalCentered="1"/>
  <pageMargins left="0.25" right="0.25" top="0.5" bottom="0.5" header="0.15" footer="0.3"/>
  <pageSetup scale="51" fitToHeight="0" orientation="landscape" blackAndWhite="1" horizontalDpi="300" verticalDpi="300" r:id="rId1"/>
  <headerFooter alignWithMargins="0"/>
  <rowBreaks count="1" manualBreakCount="1">
    <brk id="2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70C0"/>
    <pageSetUpPr fitToPage="1"/>
  </sheetPr>
  <dimension ref="A1:P104"/>
  <sheetViews>
    <sheetView zoomScale="80" zoomScaleNormal="80" workbookViewId="0">
      <selection sqref="A1:G1"/>
    </sheetView>
  </sheetViews>
  <sheetFormatPr defaultColWidth="8" defaultRowHeight="15.6"/>
  <cols>
    <col min="1" max="1" width="4.6640625" style="139" customWidth="1"/>
    <col min="2" max="2" width="67.5546875" style="140" customWidth="1"/>
    <col min="3" max="3" width="54.33203125" style="143" customWidth="1"/>
    <col min="4" max="4" width="18.44140625" style="54" customWidth="1"/>
    <col min="5" max="5" width="15" style="54" customWidth="1"/>
    <col min="6" max="6" width="13.6640625" style="54" customWidth="1"/>
    <col min="7" max="7" width="18" style="54" bestFit="1" customWidth="1"/>
    <col min="8" max="8" width="15.5546875" style="80" customWidth="1"/>
    <col min="9" max="9" width="15.109375" style="49" customWidth="1"/>
    <col min="10" max="10" width="15.5546875" style="49" customWidth="1"/>
    <col min="11" max="11" width="14" style="49" customWidth="1"/>
    <col min="12" max="16384" width="8" style="49"/>
  </cols>
  <sheetData>
    <row r="1" spans="1:16" s="14" customFormat="1" ht="20.25" customHeight="1">
      <c r="A1" s="908" t="s">
        <v>224</v>
      </c>
      <c r="B1" s="908"/>
      <c r="C1" s="908"/>
      <c r="D1" s="908"/>
      <c r="E1" s="908"/>
      <c r="F1" s="908"/>
      <c r="G1" s="908"/>
      <c r="H1" s="135"/>
    </row>
    <row r="2" spans="1:16" s="14" customFormat="1" ht="20.25" customHeight="1">
      <c r="A2" s="908" t="s">
        <v>354</v>
      </c>
      <c r="B2" s="908"/>
      <c r="C2" s="908"/>
      <c r="D2" s="908"/>
      <c r="E2" s="908"/>
      <c r="F2" s="908"/>
      <c r="G2" s="908"/>
      <c r="H2" s="135"/>
    </row>
    <row r="3" spans="1:16" ht="19.5" customHeight="1">
      <c r="A3" s="566"/>
      <c r="B3" s="509" t="s">
        <v>0</v>
      </c>
      <c r="C3" s="509" t="s">
        <v>1</v>
      </c>
      <c r="D3" s="510" t="s">
        <v>2</v>
      </c>
      <c r="E3" s="510" t="s">
        <v>3</v>
      </c>
      <c r="F3" s="510" t="s">
        <v>4</v>
      </c>
      <c r="G3" s="510" t="s">
        <v>5</v>
      </c>
      <c r="H3" s="136"/>
      <c r="I3" s="137"/>
      <c r="J3" s="137"/>
    </row>
    <row r="4" spans="1:16">
      <c r="A4" s="566"/>
      <c r="B4" s="610"/>
      <c r="C4" s="567" t="s">
        <v>36</v>
      </c>
      <c r="D4" s="567" t="s">
        <v>42</v>
      </c>
      <c r="E4" s="567" t="s">
        <v>123</v>
      </c>
      <c r="F4" s="567" t="s">
        <v>137</v>
      </c>
      <c r="G4" s="567" t="s">
        <v>37</v>
      </c>
      <c r="H4" s="56"/>
      <c r="I4" s="50"/>
      <c r="J4" s="50"/>
    </row>
    <row r="5" spans="1:16">
      <c r="A5" s="566"/>
      <c r="B5" s="611"/>
      <c r="C5" s="567"/>
      <c r="D5" s="569" t="s">
        <v>204</v>
      </c>
      <c r="E5" s="571" t="s">
        <v>205</v>
      </c>
      <c r="F5" s="571"/>
      <c r="G5" s="569" t="s">
        <v>34</v>
      </c>
      <c r="H5" s="224"/>
      <c r="I5" s="225"/>
      <c r="J5" s="225"/>
      <c r="K5" s="151"/>
    </row>
    <row r="6" spans="1:16" ht="23.25" customHeight="1">
      <c r="A6" s="294">
        <v>1</v>
      </c>
      <c r="B6" s="612" t="s">
        <v>227</v>
      </c>
      <c r="C6" s="517"/>
      <c r="D6" s="530"/>
      <c r="E6" s="530"/>
      <c r="F6" s="530"/>
      <c r="G6" s="530"/>
      <c r="H6" s="224"/>
      <c r="I6" s="225"/>
      <c r="J6" s="225"/>
      <c r="K6" s="151"/>
      <c r="L6" s="151"/>
      <c r="M6" s="151"/>
      <c r="N6" s="151"/>
      <c r="O6" s="151"/>
      <c r="P6" s="151"/>
    </row>
    <row r="7" spans="1:16">
      <c r="A7" s="294">
        <f t="shared" ref="A7:A45" si="0">A6+1</f>
        <v>2</v>
      </c>
      <c r="B7" s="613" t="s">
        <v>230</v>
      </c>
      <c r="C7" s="614" t="s">
        <v>447</v>
      </c>
      <c r="D7" s="615">
        <f>'T-4'!P44+'T-4'!P45</f>
        <v>2.2737324766355145</v>
      </c>
      <c r="E7" s="569"/>
      <c r="F7" s="569"/>
      <c r="G7" s="616"/>
      <c r="H7" s="181"/>
      <c r="I7" s="151"/>
      <c r="J7" s="151"/>
      <c r="K7" s="151"/>
      <c r="L7" s="151"/>
      <c r="M7" s="916"/>
      <c r="N7" s="916"/>
      <c r="O7" s="916"/>
      <c r="P7" s="151"/>
    </row>
    <row r="8" spans="1:16">
      <c r="A8" s="294">
        <f t="shared" si="0"/>
        <v>3</v>
      </c>
      <c r="B8" s="617" t="s">
        <v>645</v>
      </c>
      <c r="C8" s="517" t="s">
        <v>448</v>
      </c>
      <c r="D8" s="530"/>
      <c r="E8" s="618">
        <v>20.004359999999998</v>
      </c>
      <c r="F8" s="578"/>
      <c r="G8" s="616"/>
      <c r="H8" s="224"/>
      <c r="I8" s="151"/>
      <c r="J8" s="232"/>
      <c r="K8" s="151"/>
      <c r="L8" s="151"/>
      <c r="M8" s="229"/>
      <c r="N8" s="229"/>
      <c r="O8" s="229"/>
      <c r="P8" s="151"/>
    </row>
    <row r="9" spans="1:16">
      <c r="A9" s="294">
        <f t="shared" si="0"/>
        <v>4</v>
      </c>
      <c r="B9" s="617" t="s">
        <v>646</v>
      </c>
      <c r="C9" s="517" t="s">
        <v>448</v>
      </c>
      <c r="D9" s="530"/>
      <c r="E9" s="615">
        <v>20.004359999999998</v>
      </c>
      <c r="F9" s="578"/>
      <c r="G9" s="616"/>
      <c r="H9" s="224"/>
      <c r="I9" s="151"/>
      <c r="J9" s="232"/>
      <c r="K9" s="226"/>
      <c r="L9" s="151"/>
      <c r="M9" s="230"/>
      <c r="N9" s="229"/>
      <c r="O9" s="229"/>
      <c r="P9" s="151"/>
    </row>
    <row r="10" spans="1:16">
      <c r="A10" s="294">
        <f t="shared" si="0"/>
        <v>5</v>
      </c>
      <c r="B10" s="613" t="s">
        <v>231</v>
      </c>
      <c r="C10" s="517" t="str">
        <f>"(Line "&amp;TEXT(A8,"0")&amp;" + Line "&amp;TEXT(A9,"0")&amp;") / 2"</f>
        <v>(Line 3 + Line 4) / 2</v>
      </c>
      <c r="D10" s="530"/>
      <c r="E10" s="578">
        <f>AVERAGE(E8:E9)</f>
        <v>20.004359999999998</v>
      </c>
      <c r="F10" s="578"/>
      <c r="G10" s="616"/>
      <c r="H10" s="224"/>
      <c r="I10" s="225"/>
      <c r="J10" s="225"/>
      <c r="K10" s="226"/>
      <c r="L10" s="151"/>
      <c r="M10" s="229"/>
      <c r="N10" s="229"/>
      <c r="O10" s="229"/>
      <c r="P10" s="151"/>
    </row>
    <row r="11" spans="1:16">
      <c r="A11" s="294">
        <f t="shared" si="0"/>
        <v>6</v>
      </c>
      <c r="B11" s="617" t="s">
        <v>228</v>
      </c>
      <c r="C11" s="517" t="str">
        <f>"Line "&amp;TEXT(A10,"0")&amp;" / Line "&amp;TEXT(A7,"0")&amp;"/ 12"</f>
        <v>Line 5 / Line 2/ 12</v>
      </c>
      <c r="D11" s="530"/>
      <c r="E11" s="577"/>
      <c r="F11" s="577"/>
      <c r="G11" s="619">
        <f>E10/D7/12</f>
        <v>0.73316892692087332</v>
      </c>
      <c r="H11" s="224"/>
      <c r="I11" s="227"/>
      <c r="J11" s="225"/>
      <c r="K11" s="151"/>
      <c r="L11" s="151"/>
      <c r="M11" s="231"/>
      <c r="N11" s="231"/>
      <c r="O11" s="231"/>
      <c r="P11" s="151"/>
    </row>
    <row r="12" spans="1:16">
      <c r="A12" s="294">
        <f t="shared" si="0"/>
        <v>7</v>
      </c>
      <c r="B12" s="617" t="s">
        <v>589</v>
      </c>
      <c r="C12" s="614" t="s">
        <v>596</v>
      </c>
      <c r="D12" s="530"/>
      <c r="E12" s="577"/>
      <c r="F12" s="577"/>
      <c r="G12" s="619">
        <f>'T-11'!F38+'T-11'!F65+'T-11'!F70</f>
        <v>1.8499999999999999</v>
      </c>
      <c r="H12" s="224"/>
      <c r="I12" s="227"/>
      <c r="J12" s="225"/>
      <c r="K12" s="151"/>
      <c r="L12" s="151"/>
      <c r="M12" s="151"/>
      <c r="N12" s="151"/>
      <c r="O12" s="151"/>
      <c r="P12" s="151"/>
    </row>
    <row r="13" spans="1:16" ht="27" customHeight="1">
      <c r="A13" s="294">
        <f t="shared" si="0"/>
        <v>8</v>
      </c>
      <c r="B13" s="612" t="s">
        <v>355</v>
      </c>
      <c r="C13" s="517"/>
      <c r="D13" s="530"/>
      <c r="E13" s="578"/>
      <c r="F13" s="578"/>
      <c r="G13" s="530"/>
      <c r="H13" s="224"/>
      <c r="I13" s="225"/>
      <c r="J13" s="225"/>
      <c r="K13" s="151"/>
      <c r="L13" s="151"/>
      <c r="M13" s="151"/>
      <c r="N13" s="151"/>
      <c r="O13" s="151"/>
      <c r="P13" s="151"/>
    </row>
    <row r="14" spans="1:16" ht="27" customHeight="1">
      <c r="A14" s="294">
        <f t="shared" si="0"/>
        <v>9</v>
      </c>
      <c r="B14" s="612" t="s">
        <v>463</v>
      </c>
      <c r="C14" s="517"/>
      <c r="D14" s="530"/>
      <c r="E14" s="578"/>
      <c r="F14" s="578"/>
      <c r="G14" s="530"/>
      <c r="H14" s="224"/>
      <c r="I14" s="225"/>
      <c r="J14" s="225"/>
      <c r="K14" s="151"/>
    </row>
    <row r="15" spans="1:16">
      <c r="A15" s="294">
        <f t="shared" si="0"/>
        <v>10</v>
      </c>
      <c r="B15" s="613" t="s">
        <v>592</v>
      </c>
      <c r="C15" s="614" t="s">
        <v>594</v>
      </c>
      <c r="D15" s="530"/>
      <c r="E15" s="577"/>
      <c r="F15" s="577"/>
      <c r="G15" s="619">
        <f>'T-11'!G38+'T-11'!G65+'T-11'!G70</f>
        <v>1.964</v>
      </c>
      <c r="H15" s="224"/>
      <c r="I15" s="225"/>
      <c r="J15" s="225"/>
      <c r="K15" s="151"/>
    </row>
    <row r="16" spans="1:16">
      <c r="A16" s="294">
        <f t="shared" si="0"/>
        <v>11</v>
      </c>
      <c r="B16" s="613" t="s">
        <v>590</v>
      </c>
      <c r="C16" s="517" t="str">
        <f>"(Line "&amp;TEXT(A15,"0")&amp;" - Line "&amp;TEXT(A12,"0")&amp;" ) / Line "&amp;TEXT(A12,"0")</f>
        <v>(Line 10 - Line 7 ) / Line 7</v>
      </c>
      <c r="D16" s="530"/>
      <c r="E16" s="577"/>
      <c r="F16" s="620">
        <f>(G15-G12)/G12</f>
        <v>6.1621621621621679E-2</v>
      </c>
      <c r="G16" s="616"/>
      <c r="H16" s="181"/>
      <c r="I16" s="225"/>
      <c r="J16" s="225"/>
      <c r="K16" s="151"/>
    </row>
    <row r="17" spans="1:11">
      <c r="A17" s="294">
        <f t="shared" si="0"/>
        <v>12</v>
      </c>
      <c r="B17" s="617" t="s">
        <v>356</v>
      </c>
      <c r="C17" s="517" t="str">
        <f>"Line "&amp;TEXT(A11,"0")&amp;" * ( 1 + Line "&amp;TEXT(A16,"0")&amp;" )"</f>
        <v>Line 6 * ( 1 + Line 11 )</v>
      </c>
      <c r="D17" s="530"/>
      <c r="E17" s="577"/>
      <c r="F17" s="621"/>
      <c r="G17" s="574">
        <f>G11*(1+F16)</f>
        <v>0.77834798512032177</v>
      </c>
      <c r="H17" s="224"/>
      <c r="I17" s="225"/>
      <c r="J17" s="225"/>
      <c r="K17" s="151"/>
    </row>
    <row r="18" spans="1:11" ht="17.25" customHeight="1">
      <c r="A18" s="294">
        <f t="shared" si="0"/>
        <v>13</v>
      </c>
      <c r="B18" s="613" t="s">
        <v>357</v>
      </c>
      <c r="C18" s="517" t="str">
        <f>"Line "&amp;TEXT(A7,"0")&amp;" * Line "&amp;TEXT(A17,"0")&amp;" * 12"</f>
        <v>Line 2 * Line 12 * 12</v>
      </c>
      <c r="D18" s="530"/>
      <c r="E18" s="578">
        <f>D7*G17*12</f>
        <v>21.237061102702704</v>
      </c>
      <c r="F18" s="622"/>
      <c r="G18" s="623"/>
      <c r="H18" s="224"/>
      <c r="I18" s="225"/>
      <c r="J18" s="225"/>
      <c r="K18" s="151"/>
    </row>
    <row r="19" spans="1:11">
      <c r="A19" s="294">
        <f t="shared" si="0"/>
        <v>14</v>
      </c>
      <c r="B19" s="613" t="s">
        <v>591</v>
      </c>
      <c r="C19" s="517" t="str">
        <f>"Table 11, Line "&amp;TEXT('T-11'!B38,"0")&amp;" "&amp;'T-11'!G3</f>
        <v>Table 11, Line 34 (E)</v>
      </c>
      <c r="D19" s="530"/>
      <c r="E19" s="577"/>
      <c r="F19" s="621"/>
      <c r="G19" s="619">
        <f>'T-11'!G38</f>
        <v>1.6479999999999999</v>
      </c>
      <c r="H19" s="224"/>
      <c r="I19" s="227"/>
      <c r="J19" s="225"/>
      <c r="K19" s="228"/>
    </row>
    <row r="20" spans="1:11">
      <c r="A20" s="294">
        <f t="shared" si="0"/>
        <v>15</v>
      </c>
      <c r="B20" s="613" t="s">
        <v>225</v>
      </c>
      <c r="C20" s="517" t="str">
        <f>"Line "&amp;TEXT(A19,"0")&amp;" / Line "&amp;TEXT(A15,"0")</f>
        <v>Line 14 / Line 10</v>
      </c>
      <c r="D20" s="530"/>
      <c r="E20" s="624"/>
      <c r="F20" s="620">
        <f>G19/G15</f>
        <v>0.83910386965376782</v>
      </c>
      <c r="G20" s="616"/>
      <c r="H20" s="224"/>
      <c r="I20" s="228"/>
      <c r="J20" s="151"/>
      <c r="K20" s="228"/>
    </row>
    <row r="21" spans="1:11">
      <c r="A21" s="294">
        <f t="shared" si="0"/>
        <v>16</v>
      </c>
      <c r="B21" s="617" t="s">
        <v>229</v>
      </c>
      <c r="C21" s="517" t="str">
        <f>"Line "&amp;TEXT(A20,"0")&amp;" * Line"&amp;TEXT(A18,"0")</f>
        <v>Line 15 * Line13</v>
      </c>
      <c r="D21" s="530"/>
      <c r="E21" s="625">
        <f>E18*F20</f>
        <v>17.820100151351351</v>
      </c>
      <c r="F21" s="620"/>
      <c r="G21" s="616"/>
      <c r="H21" s="224"/>
      <c r="I21" s="228"/>
      <c r="J21" s="151"/>
      <c r="K21" s="151"/>
    </row>
    <row r="22" spans="1:11">
      <c r="A22" s="294">
        <f t="shared" si="0"/>
        <v>17</v>
      </c>
      <c r="B22" s="613" t="s">
        <v>226</v>
      </c>
      <c r="C22" s="517" t="str">
        <f>"100% - Line "&amp;TEXT(A20,"0")</f>
        <v>100% - Line 15</v>
      </c>
      <c r="D22" s="530"/>
      <c r="E22" s="624"/>
      <c r="F22" s="620">
        <f>1-F20</f>
        <v>0.16089613034623218</v>
      </c>
      <c r="G22" s="616"/>
      <c r="H22" s="224"/>
      <c r="I22" s="228"/>
      <c r="J22" s="151"/>
      <c r="K22" s="151"/>
    </row>
    <row r="23" spans="1:11">
      <c r="A23" s="294">
        <f t="shared" si="0"/>
        <v>18</v>
      </c>
      <c r="B23" s="617" t="s">
        <v>232</v>
      </c>
      <c r="C23" s="517" t="str">
        <f>"Line "&amp;TEXT(A18,"0")&amp;" - Line "&amp;TEXT(A21,"0")</f>
        <v>Line 13 - Line 16</v>
      </c>
      <c r="D23" s="530"/>
      <c r="E23" s="625">
        <f>E18-E21</f>
        <v>3.4169609513513528</v>
      </c>
      <c r="F23" s="626"/>
      <c r="G23" s="616"/>
      <c r="H23" s="181"/>
      <c r="I23" s="151"/>
      <c r="J23" s="151"/>
      <c r="K23" s="151"/>
    </row>
    <row r="24" spans="1:11">
      <c r="A24" s="294">
        <f t="shared" si="0"/>
        <v>19</v>
      </c>
      <c r="B24" s="617" t="s">
        <v>233</v>
      </c>
      <c r="C24" s="627"/>
      <c r="D24" s="530"/>
      <c r="E24" s="625">
        <v>0</v>
      </c>
      <c r="F24" s="626"/>
      <c r="G24" s="616"/>
    </row>
    <row r="25" spans="1:11" ht="25.5" customHeight="1">
      <c r="A25" s="294">
        <f t="shared" si="0"/>
        <v>20</v>
      </c>
      <c r="B25" s="628" t="s">
        <v>464</v>
      </c>
      <c r="C25" s="627" t="s">
        <v>595</v>
      </c>
      <c r="D25" s="530"/>
      <c r="E25" s="625"/>
      <c r="F25" s="626">
        <f>'T-11'!F38/SUM('T-11'!F38,'T-11'!F65)</f>
        <v>0.82864864864864862</v>
      </c>
      <c r="G25" s="616"/>
    </row>
    <row r="26" spans="1:11">
      <c r="A26" s="294">
        <f t="shared" si="0"/>
        <v>21</v>
      </c>
      <c r="B26" s="613" t="s">
        <v>465</v>
      </c>
      <c r="C26" s="627" t="str">
        <f>"Table 4, Line "&amp;TEXT('T-4'!A8,"0")&amp;" "&amp;'T-4'!P4&amp;" * Line"&amp;TEXT(A17,"0")&amp;" * 12"</f>
        <v>Table 4, Line 3 (O) * Line12 * 12</v>
      </c>
      <c r="D26" s="530"/>
      <c r="E26" s="625">
        <f>'T-4'!P8*G17*12</f>
        <v>21.237061102702704</v>
      </c>
      <c r="F26" s="626"/>
      <c r="G26" s="616"/>
    </row>
    <row r="27" spans="1:11">
      <c r="A27" s="294">
        <f t="shared" si="0"/>
        <v>22</v>
      </c>
      <c r="B27" s="538" t="s">
        <v>466</v>
      </c>
      <c r="C27" s="627" t="str">
        <f>"Table 4, Line "&amp;TEXT('T-4'!A9,"0")&amp;" "&amp;'T-4'!P4&amp;" * Line "&amp;TEXT(A11,"0")&amp;" * 12"</f>
        <v>Table 4, Line 4 (O) * Line 6 * 12</v>
      </c>
      <c r="D27" s="530"/>
      <c r="E27" s="629">
        <f>'T-4'!P9*G11*12</f>
        <v>0</v>
      </c>
      <c r="F27" s="626"/>
      <c r="G27" s="576"/>
      <c r="J27" s="138"/>
    </row>
    <row r="28" spans="1:11" ht="15.75" customHeight="1">
      <c r="A28" s="294">
        <f t="shared" si="0"/>
        <v>23</v>
      </c>
      <c r="B28" s="538" t="s">
        <v>467</v>
      </c>
      <c r="C28" s="517" t="str">
        <f>"Line "&amp;TEXT(A26,"0")&amp;" + Line "&amp;TEXT(A27,"0")</f>
        <v>Line 21 + Line 22</v>
      </c>
      <c r="D28" s="530"/>
      <c r="E28" s="625">
        <f>SUM(E26:E27)</f>
        <v>21.237061102702704</v>
      </c>
      <c r="F28" s="626"/>
      <c r="G28" s="576"/>
    </row>
    <row r="29" spans="1:11" ht="22.5" customHeight="1">
      <c r="A29" s="294">
        <f t="shared" si="0"/>
        <v>24</v>
      </c>
      <c r="B29" s="538" t="s">
        <v>468</v>
      </c>
      <c r="C29" s="627" t="s">
        <v>563</v>
      </c>
      <c r="D29" s="530"/>
      <c r="E29" s="625">
        <f>'T-4'!P26*G17*12</f>
        <v>21.237061102702704</v>
      </c>
      <c r="F29" s="626"/>
      <c r="G29" s="576"/>
    </row>
    <row r="30" spans="1:11">
      <c r="A30" s="294">
        <f t="shared" si="0"/>
        <v>25</v>
      </c>
      <c r="B30" s="538" t="s">
        <v>469</v>
      </c>
      <c r="C30" s="627" t="s">
        <v>564</v>
      </c>
      <c r="D30" s="530"/>
      <c r="E30" s="629">
        <f>'T-4'!P27*G17*12</f>
        <v>0</v>
      </c>
      <c r="F30" s="626"/>
      <c r="G30" s="576"/>
    </row>
    <row r="31" spans="1:11">
      <c r="A31" s="294">
        <f t="shared" si="0"/>
        <v>26</v>
      </c>
      <c r="B31" s="538" t="s">
        <v>470</v>
      </c>
      <c r="C31" s="517" t="str">
        <f>"Line "&amp;TEXT(A29,"0")&amp;" + Line "&amp;TEXT(A30,"0")</f>
        <v>Line 24 + Line 25</v>
      </c>
      <c r="D31" s="530"/>
      <c r="E31" s="625">
        <f>SUM(E29:E30)</f>
        <v>21.237061102702704</v>
      </c>
      <c r="F31" s="626"/>
      <c r="G31" s="576"/>
    </row>
    <row r="32" spans="1:11" ht="33" customHeight="1">
      <c r="A32" s="294">
        <f t="shared" si="0"/>
        <v>27</v>
      </c>
      <c r="B32" s="538" t="s">
        <v>471</v>
      </c>
      <c r="C32" s="517" t="str">
        <f>"Line "&amp;TEXT(A20,"0")&amp;" * Line "&amp;TEXT(A26,"0")</f>
        <v>Line 15 * Line 21</v>
      </c>
      <c r="D32" s="530"/>
      <c r="E32" s="625">
        <f>E26*F20</f>
        <v>17.820100151351351</v>
      </c>
      <c r="F32" s="626"/>
      <c r="G32" s="576"/>
    </row>
    <row r="33" spans="1:10">
      <c r="A33" s="294">
        <f t="shared" si="0"/>
        <v>28</v>
      </c>
      <c r="B33" s="538" t="s">
        <v>472</v>
      </c>
      <c r="C33" s="517" t="str">
        <f>"Line "&amp;TEXT(A25,"0")&amp;" * Line "&amp;TEXT(A27,"0")</f>
        <v>Line 20 * Line 22</v>
      </c>
      <c r="D33" s="530"/>
      <c r="E33" s="629">
        <f>E27*F25</f>
        <v>0</v>
      </c>
      <c r="F33" s="626"/>
      <c r="G33" s="576"/>
    </row>
    <row r="34" spans="1:10">
      <c r="A34" s="294">
        <f t="shared" si="0"/>
        <v>29</v>
      </c>
      <c r="B34" s="538" t="s">
        <v>473</v>
      </c>
      <c r="C34" s="517" t="str">
        <f>"Line "&amp;TEXT(A32,"0")&amp;" + Line "&amp;TEXT(A33,"0")</f>
        <v>Line 27 + Line 28</v>
      </c>
      <c r="D34" s="530"/>
      <c r="E34" s="625">
        <f>SUM(E32:E33)</f>
        <v>17.820100151351351</v>
      </c>
      <c r="F34" s="626"/>
      <c r="G34" s="576"/>
    </row>
    <row r="35" spans="1:10" ht="33" customHeight="1">
      <c r="A35" s="294">
        <f t="shared" si="0"/>
        <v>30</v>
      </c>
      <c r="B35" s="538" t="s">
        <v>474</v>
      </c>
      <c r="C35" s="517" t="str">
        <f>"Line "&amp;TEXT(A20,"0")&amp;" * Line "&amp;TEXT(A29,"0")</f>
        <v>Line 15 * Line 24</v>
      </c>
      <c r="D35" s="530"/>
      <c r="E35" s="625">
        <f>E29*F20</f>
        <v>17.820100151351351</v>
      </c>
      <c r="F35" s="626"/>
      <c r="G35" s="576"/>
    </row>
    <row r="36" spans="1:10">
      <c r="A36" s="294">
        <f t="shared" si="0"/>
        <v>31</v>
      </c>
      <c r="B36" s="538" t="s">
        <v>475</v>
      </c>
      <c r="C36" s="517" t="str">
        <f>"Line "&amp;TEXT(A20,"0")&amp;" * Line "&amp;TEXT(A30,"0")</f>
        <v>Line 15 * Line 25</v>
      </c>
      <c r="D36" s="530"/>
      <c r="E36" s="629">
        <f>E30*F20</f>
        <v>0</v>
      </c>
      <c r="F36" s="626"/>
      <c r="G36" s="576"/>
    </row>
    <row r="37" spans="1:10">
      <c r="A37" s="294">
        <f t="shared" si="0"/>
        <v>32</v>
      </c>
      <c r="B37" s="538" t="s">
        <v>476</v>
      </c>
      <c r="C37" s="517" t="str">
        <f>"Line "&amp;TEXT(A35,"0")&amp;" + Line "&amp;TEXT(A36,"0")</f>
        <v>Line 30 + Line 31</v>
      </c>
      <c r="D37" s="530"/>
      <c r="E37" s="625">
        <f>SUM(E35:E36)</f>
        <v>17.820100151351351</v>
      </c>
      <c r="F37" s="626"/>
      <c r="G37" s="576"/>
    </row>
    <row r="38" spans="1:10">
      <c r="A38" s="294">
        <f t="shared" si="0"/>
        <v>33</v>
      </c>
      <c r="B38" s="538" t="s">
        <v>374</v>
      </c>
      <c r="C38" s="517" t="str">
        <f>"(Line "&amp;TEXT(A34,"0")&amp;" + Line "&amp;TEXT(A37,"0")&amp;") / 2"</f>
        <v>(Line 29 + Line 32) / 2</v>
      </c>
      <c r="D38" s="530"/>
      <c r="E38" s="625">
        <f>AVERAGE(E34,E37)</f>
        <v>17.820100151351351</v>
      </c>
      <c r="F38" s="626"/>
      <c r="G38" s="576"/>
    </row>
    <row r="39" spans="1:10" ht="27.75" customHeight="1">
      <c r="A39" s="294">
        <f t="shared" si="0"/>
        <v>34</v>
      </c>
      <c r="B39" s="538" t="s">
        <v>477</v>
      </c>
      <c r="C39" s="517" t="str">
        <f>"Line "&amp;TEXT(A26,"0")&amp;" - Line "&amp;TEXT(A32,"0")</f>
        <v>Line 21 - Line 27</v>
      </c>
      <c r="D39" s="530"/>
      <c r="E39" s="625">
        <f>E26-E32</f>
        <v>3.4169609513513528</v>
      </c>
      <c r="F39" s="626"/>
      <c r="G39" s="576"/>
    </row>
    <row r="40" spans="1:10">
      <c r="A40" s="294">
        <f t="shared" si="0"/>
        <v>35</v>
      </c>
      <c r="B40" s="538" t="s">
        <v>478</v>
      </c>
      <c r="C40" s="517" t="str">
        <f>"Line "&amp;TEXT(A27,"0")&amp;" - Line "&amp;TEXT(A33,"0")</f>
        <v>Line 22 - Line 28</v>
      </c>
      <c r="D40" s="530"/>
      <c r="E40" s="629">
        <f>E27-E33</f>
        <v>0</v>
      </c>
      <c r="F40" s="626"/>
      <c r="G40" s="576"/>
    </row>
    <row r="41" spans="1:10" ht="17.25" customHeight="1">
      <c r="A41" s="294">
        <f t="shared" si="0"/>
        <v>36</v>
      </c>
      <c r="B41" s="538" t="s">
        <v>479</v>
      </c>
      <c r="C41" s="517" t="str">
        <f>"Line "&amp;TEXT(A39,"0")&amp;" + Line "&amp;TEXT(A40,"0")</f>
        <v>Line 34 + Line 35</v>
      </c>
      <c r="D41" s="530"/>
      <c r="E41" s="625">
        <f>SUM(E39:E40)</f>
        <v>3.4169609513513528</v>
      </c>
      <c r="F41" s="626"/>
      <c r="G41" s="576"/>
    </row>
    <row r="42" spans="1:10" ht="30" customHeight="1">
      <c r="A42" s="294">
        <f t="shared" si="0"/>
        <v>37</v>
      </c>
      <c r="B42" s="538" t="s">
        <v>480</v>
      </c>
      <c r="C42" s="517" t="str">
        <f>"Line "&amp;TEXT(A29,"0")&amp;" - Line "&amp;TEXT(A35,"0")</f>
        <v>Line 24 - Line 30</v>
      </c>
      <c r="D42" s="530"/>
      <c r="E42" s="625">
        <f>E29-E35</f>
        <v>3.4169609513513528</v>
      </c>
      <c r="F42" s="626"/>
      <c r="G42" s="576"/>
    </row>
    <row r="43" spans="1:10" ht="15.75" customHeight="1">
      <c r="A43" s="294">
        <f t="shared" si="0"/>
        <v>38</v>
      </c>
      <c r="B43" s="538" t="s">
        <v>481</v>
      </c>
      <c r="C43" s="517" t="str">
        <f>"Line "&amp;TEXT(A30,"0")&amp;" - Line "&amp;TEXT(A36,"0")</f>
        <v>Line 25 - Line 31</v>
      </c>
      <c r="D43" s="530"/>
      <c r="E43" s="629">
        <f>E30-E36</f>
        <v>0</v>
      </c>
      <c r="F43" s="626"/>
      <c r="G43" s="576"/>
    </row>
    <row r="44" spans="1:10">
      <c r="A44" s="294">
        <f t="shared" si="0"/>
        <v>39</v>
      </c>
      <c r="B44" s="538" t="s">
        <v>482</v>
      </c>
      <c r="C44" s="517" t="str">
        <f>"Line "&amp;TEXT(A42,"0")&amp;" + Line "&amp;TEXT(A43,"0")</f>
        <v>Line 37 + Line 38</v>
      </c>
      <c r="D44" s="530"/>
      <c r="E44" s="625">
        <f>SUM(E42:E43)</f>
        <v>3.4169609513513528</v>
      </c>
      <c r="F44" s="626"/>
      <c r="G44" s="576"/>
    </row>
    <row r="45" spans="1:10" ht="32.25" customHeight="1">
      <c r="A45" s="294">
        <f t="shared" si="0"/>
        <v>40</v>
      </c>
      <c r="B45" s="538" t="s">
        <v>375</v>
      </c>
      <c r="C45" s="517" t="str">
        <f>"(Line "&amp;TEXT(A41,"0")&amp;" + Line "&amp;TEXT(A44,"0")&amp;") / 2"</f>
        <v>(Line 36 + Line 39) / 2</v>
      </c>
      <c r="D45" s="530"/>
      <c r="E45" s="625">
        <f>(E41+E44)/2</f>
        <v>3.4169609513513528</v>
      </c>
      <c r="F45" s="626"/>
      <c r="G45" s="576"/>
    </row>
    <row r="46" spans="1:10" ht="22.5" customHeight="1">
      <c r="A46" s="630"/>
      <c r="B46" s="631" t="s">
        <v>593</v>
      </c>
      <c r="C46" s="517"/>
      <c r="D46" s="530"/>
      <c r="E46" s="577"/>
      <c r="F46" s="577"/>
      <c r="G46" s="574"/>
      <c r="H46" s="56"/>
      <c r="I46" s="50"/>
      <c r="J46" s="50"/>
    </row>
    <row r="47" spans="1:10">
      <c r="C47" s="141"/>
      <c r="D47" s="53"/>
      <c r="E47" s="53"/>
      <c r="F47" s="53"/>
      <c r="G47" s="53"/>
    </row>
    <row r="48" spans="1:10">
      <c r="C48" s="141"/>
      <c r="D48" s="53"/>
      <c r="E48" s="53"/>
      <c r="F48" s="53"/>
      <c r="G48" s="53"/>
    </row>
    <row r="49" spans="3:7">
      <c r="C49" s="141"/>
      <c r="D49" s="53"/>
      <c r="E49" s="53"/>
      <c r="F49" s="53"/>
      <c r="G49" s="53"/>
    </row>
    <row r="50" spans="3:7">
      <c r="C50" s="141"/>
      <c r="D50" s="53"/>
      <c r="E50" s="53"/>
      <c r="F50" s="53"/>
      <c r="G50" s="53"/>
    </row>
    <row r="51" spans="3:7">
      <c r="C51" s="141"/>
      <c r="D51" s="53"/>
      <c r="E51" s="53"/>
      <c r="F51" s="53"/>
      <c r="G51" s="142"/>
    </row>
    <row r="52" spans="3:7">
      <c r="C52" s="141"/>
      <c r="D52" s="53"/>
      <c r="E52" s="53"/>
      <c r="F52" s="53"/>
      <c r="G52" s="53"/>
    </row>
    <row r="53" spans="3:7">
      <c r="C53" s="141"/>
      <c r="D53" s="53"/>
      <c r="E53" s="53"/>
      <c r="F53" s="53"/>
      <c r="G53" s="53"/>
    </row>
    <row r="54" spans="3:7">
      <c r="C54" s="141"/>
      <c r="D54" s="53"/>
      <c r="E54" s="53"/>
      <c r="F54" s="53"/>
      <c r="G54" s="53"/>
    </row>
    <row r="55" spans="3:7">
      <c r="C55" s="141"/>
      <c r="D55" s="53"/>
      <c r="E55" s="53"/>
      <c r="F55" s="53"/>
      <c r="G55" s="53"/>
    </row>
    <row r="56" spans="3:7">
      <c r="C56" s="141"/>
      <c r="D56" s="53"/>
      <c r="E56" s="53"/>
      <c r="F56" s="53"/>
      <c r="G56" s="53"/>
    </row>
    <row r="57" spans="3:7">
      <c r="C57" s="141"/>
      <c r="D57" s="53"/>
      <c r="E57" s="53"/>
      <c r="F57" s="53"/>
      <c r="G57" s="53"/>
    </row>
    <row r="58" spans="3:7">
      <c r="C58" s="141"/>
      <c r="D58" s="53"/>
      <c r="E58" s="53"/>
      <c r="F58" s="53"/>
      <c r="G58" s="53"/>
    </row>
    <row r="59" spans="3:7">
      <c r="C59" s="141"/>
      <c r="D59" s="53"/>
      <c r="E59" s="53"/>
      <c r="F59" s="53"/>
      <c r="G59" s="53"/>
    </row>
    <row r="60" spans="3:7">
      <c r="C60" s="141"/>
      <c r="D60" s="53"/>
      <c r="E60" s="53"/>
      <c r="F60" s="53"/>
      <c r="G60" s="53"/>
    </row>
    <row r="61" spans="3:7">
      <c r="C61" s="141"/>
      <c r="D61" s="53"/>
      <c r="E61" s="53"/>
      <c r="F61" s="53"/>
      <c r="G61" s="53"/>
    </row>
    <row r="62" spans="3:7">
      <c r="C62" s="141"/>
      <c r="D62" s="53"/>
      <c r="E62" s="53"/>
      <c r="F62" s="53"/>
      <c r="G62" s="53"/>
    </row>
    <row r="63" spans="3:7">
      <c r="C63" s="141"/>
      <c r="D63" s="53"/>
      <c r="E63" s="53"/>
      <c r="F63" s="53"/>
      <c r="G63" s="53"/>
    </row>
    <row r="64" spans="3:7">
      <c r="C64" s="141"/>
      <c r="D64" s="53"/>
      <c r="E64" s="53"/>
      <c r="F64" s="53"/>
      <c r="G64" s="53"/>
    </row>
    <row r="65" spans="3:7">
      <c r="C65" s="141"/>
      <c r="D65" s="53"/>
      <c r="E65" s="53"/>
      <c r="F65" s="53"/>
      <c r="G65" s="53"/>
    </row>
    <row r="66" spans="3:7">
      <c r="C66" s="141"/>
      <c r="D66" s="53"/>
      <c r="E66" s="53"/>
      <c r="F66" s="53"/>
      <c r="G66" s="53"/>
    </row>
    <row r="67" spans="3:7">
      <c r="C67" s="141"/>
      <c r="D67" s="53"/>
      <c r="E67" s="53"/>
      <c r="F67" s="53"/>
      <c r="G67" s="53"/>
    </row>
    <row r="68" spans="3:7">
      <c r="C68" s="141"/>
      <c r="D68" s="53"/>
      <c r="E68" s="53"/>
      <c r="F68" s="53"/>
      <c r="G68" s="53"/>
    </row>
    <row r="69" spans="3:7">
      <c r="C69" s="141"/>
      <c r="D69" s="53"/>
      <c r="E69" s="53"/>
      <c r="F69" s="53"/>
      <c r="G69" s="53"/>
    </row>
    <row r="70" spans="3:7">
      <c r="C70" s="141"/>
      <c r="D70" s="53"/>
      <c r="E70" s="53"/>
      <c r="F70" s="53"/>
      <c r="G70" s="53"/>
    </row>
    <row r="71" spans="3:7">
      <c r="C71" s="141"/>
      <c r="D71" s="53"/>
      <c r="E71" s="53"/>
      <c r="F71" s="53"/>
      <c r="G71" s="53"/>
    </row>
    <row r="72" spans="3:7">
      <c r="C72" s="141"/>
      <c r="D72" s="53"/>
      <c r="E72" s="53"/>
      <c r="F72" s="53"/>
      <c r="G72" s="53"/>
    </row>
    <row r="73" spans="3:7">
      <c r="C73" s="141"/>
      <c r="D73" s="53"/>
      <c r="E73" s="53"/>
      <c r="F73" s="53"/>
      <c r="G73" s="53"/>
    </row>
    <row r="74" spans="3:7">
      <c r="C74" s="141"/>
      <c r="D74" s="53"/>
      <c r="E74" s="53"/>
      <c r="F74" s="53"/>
      <c r="G74" s="53"/>
    </row>
    <row r="75" spans="3:7">
      <c r="C75" s="141"/>
      <c r="D75" s="53"/>
      <c r="E75" s="53"/>
      <c r="F75" s="53"/>
      <c r="G75" s="53"/>
    </row>
    <row r="76" spans="3:7">
      <c r="C76" s="141"/>
      <c r="D76" s="53"/>
      <c r="E76" s="53"/>
      <c r="F76" s="53"/>
      <c r="G76" s="53"/>
    </row>
    <row r="77" spans="3:7">
      <c r="C77" s="141"/>
      <c r="D77" s="53"/>
      <c r="E77" s="53"/>
      <c r="F77" s="53"/>
      <c r="G77" s="53"/>
    </row>
    <row r="78" spans="3:7">
      <c r="C78" s="141"/>
      <c r="D78" s="53"/>
      <c r="E78" s="53"/>
      <c r="F78" s="53"/>
      <c r="G78" s="53"/>
    </row>
    <row r="79" spans="3:7">
      <c r="C79" s="141"/>
      <c r="D79" s="53"/>
      <c r="E79" s="53"/>
      <c r="F79" s="53"/>
      <c r="G79" s="53"/>
    </row>
    <row r="80" spans="3:7">
      <c r="C80" s="141"/>
      <c r="D80" s="53"/>
      <c r="E80" s="53"/>
      <c r="F80" s="53"/>
      <c r="G80" s="53"/>
    </row>
    <row r="81" spans="3:7">
      <c r="C81" s="141"/>
      <c r="D81" s="53"/>
      <c r="E81" s="53"/>
      <c r="F81" s="53"/>
      <c r="G81" s="53"/>
    </row>
    <row r="82" spans="3:7">
      <c r="C82" s="141"/>
      <c r="D82" s="53"/>
      <c r="E82" s="53"/>
      <c r="F82" s="53"/>
      <c r="G82" s="53"/>
    </row>
    <row r="83" spans="3:7">
      <c r="C83" s="141"/>
      <c r="D83" s="53"/>
      <c r="E83" s="53"/>
      <c r="F83" s="53"/>
      <c r="G83" s="53"/>
    </row>
    <row r="84" spans="3:7">
      <c r="C84" s="141"/>
      <c r="D84" s="53"/>
      <c r="E84" s="53"/>
      <c r="F84" s="53"/>
      <c r="G84" s="53"/>
    </row>
    <row r="85" spans="3:7">
      <c r="C85" s="141"/>
      <c r="D85" s="53"/>
      <c r="E85" s="53"/>
      <c r="F85" s="53"/>
      <c r="G85" s="53"/>
    </row>
    <row r="86" spans="3:7">
      <c r="C86" s="141"/>
      <c r="D86" s="53"/>
      <c r="E86" s="53"/>
      <c r="F86" s="53"/>
      <c r="G86" s="53"/>
    </row>
    <row r="87" spans="3:7">
      <c r="C87" s="141"/>
      <c r="D87" s="53"/>
      <c r="E87" s="53"/>
      <c r="F87" s="53"/>
      <c r="G87" s="53"/>
    </row>
    <row r="88" spans="3:7">
      <c r="C88" s="141"/>
      <c r="D88" s="53"/>
      <c r="E88" s="53"/>
      <c r="F88" s="53"/>
      <c r="G88" s="53"/>
    </row>
    <row r="89" spans="3:7">
      <c r="C89" s="141"/>
      <c r="D89" s="53"/>
      <c r="E89" s="53"/>
      <c r="F89" s="53"/>
      <c r="G89" s="53"/>
    </row>
    <row r="90" spans="3:7">
      <c r="C90" s="141"/>
      <c r="D90" s="53"/>
      <c r="E90" s="53"/>
      <c r="F90" s="53"/>
      <c r="G90" s="53"/>
    </row>
    <row r="91" spans="3:7">
      <c r="C91" s="141"/>
      <c r="D91" s="53"/>
      <c r="E91" s="53"/>
      <c r="F91" s="53"/>
      <c r="G91" s="53"/>
    </row>
    <row r="92" spans="3:7">
      <c r="C92" s="141"/>
      <c r="D92" s="53"/>
      <c r="E92" s="53"/>
      <c r="F92" s="53"/>
      <c r="G92" s="53"/>
    </row>
    <row r="93" spans="3:7">
      <c r="C93" s="141"/>
      <c r="D93" s="53"/>
      <c r="E93" s="53"/>
      <c r="F93" s="53"/>
      <c r="G93" s="53"/>
    </row>
    <row r="94" spans="3:7">
      <c r="C94" s="141"/>
      <c r="D94" s="53"/>
      <c r="E94" s="53"/>
      <c r="F94" s="53"/>
      <c r="G94" s="53"/>
    </row>
    <row r="95" spans="3:7">
      <c r="C95" s="141"/>
      <c r="D95" s="53"/>
      <c r="E95" s="53"/>
      <c r="F95" s="53"/>
      <c r="G95" s="53"/>
    </row>
    <row r="96" spans="3:7">
      <c r="C96" s="141"/>
      <c r="D96" s="53"/>
      <c r="E96" s="53"/>
      <c r="F96" s="53"/>
      <c r="G96" s="53"/>
    </row>
    <row r="97" spans="3:7">
      <c r="C97" s="141"/>
      <c r="D97" s="53"/>
      <c r="E97" s="53"/>
      <c r="F97" s="53"/>
      <c r="G97" s="53"/>
    </row>
    <row r="98" spans="3:7">
      <c r="C98" s="141"/>
      <c r="D98" s="53"/>
      <c r="E98" s="53"/>
      <c r="F98" s="53"/>
      <c r="G98" s="53"/>
    </row>
    <row r="99" spans="3:7">
      <c r="C99" s="141"/>
      <c r="D99" s="53"/>
      <c r="E99" s="53"/>
      <c r="F99" s="53"/>
      <c r="G99" s="53"/>
    </row>
    <row r="100" spans="3:7">
      <c r="C100" s="141"/>
      <c r="D100" s="53"/>
      <c r="E100" s="53"/>
      <c r="F100" s="53"/>
      <c r="G100" s="53"/>
    </row>
    <row r="101" spans="3:7">
      <c r="C101" s="141"/>
      <c r="D101" s="53"/>
      <c r="E101" s="53"/>
      <c r="F101" s="53"/>
      <c r="G101" s="53"/>
    </row>
    <row r="102" spans="3:7">
      <c r="C102" s="141"/>
      <c r="D102" s="53"/>
      <c r="E102" s="53"/>
      <c r="F102" s="53"/>
      <c r="G102" s="53"/>
    </row>
    <row r="103" spans="3:7">
      <c r="C103" s="141"/>
      <c r="D103" s="53"/>
      <c r="E103" s="53"/>
      <c r="F103" s="53"/>
      <c r="G103" s="53"/>
    </row>
    <row r="104" spans="3:7">
      <c r="C104" s="141"/>
      <c r="D104" s="53"/>
      <c r="E104" s="53"/>
      <c r="F104" s="53"/>
      <c r="G104" s="53"/>
    </row>
  </sheetData>
  <mergeCells count="3">
    <mergeCell ref="A1:G1"/>
    <mergeCell ref="A2:G2"/>
    <mergeCell ref="M7:O7"/>
  </mergeCells>
  <phoneticPr fontId="22" type="noConversion"/>
  <printOptions horizontalCentered="1"/>
  <pageMargins left="0.25" right="0.25" top="1.5" bottom="1" header="0.5" footer="0.5"/>
  <pageSetup scale="57" fitToHeight="0" orientation="landscape" blackAndWhite="1" horizontalDpi="300" verticalDpi="300" r:id="rId1"/>
  <headerFooter alignWithMargins="0"/>
  <ignoredErrors>
    <ignoredError sqref="E41 C4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0070C0"/>
  </sheetPr>
  <dimension ref="A1:P84"/>
  <sheetViews>
    <sheetView zoomScale="80" zoomScaleNormal="80" workbookViewId="0">
      <selection sqref="A1:G1"/>
    </sheetView>
  </sheetViews>
  <sheetFormatPr defaultColWidth="8" defaultRowHeight="15.6"/>
  <cols>
    <col min="1" max="1" width="5" style="51" customWidth="1"/>
    <col min="2" max="2" width="57.6640625" style="140" customWidth="1"/>
    <col min="3" max="3" width="36.6640625" style="54" bestFit="1" customWidth="1"/>
    <col min="4" max="7" width="13.5546875" style="54" customWidth="1"/>
    <col min="8" max="8" width="16.6640625" style="54" bestFit="1" customWidth="1"/>
    <col min="9" max="9" width="16.5546875" style="54" customWidth="1"/>
    <col min="10" max="10" width="13.5546875" style="54" customWidth="1"/>
    <col min="11" max="11" width="24" style="54" customWidth="1"/>
    <col min="12" max="14" width="7.6640625" style="49" customWidth="1"/>
    <col min="15" max="16384" width="8" style="49"/>
  </cols>
  <sheetData>
    <row r="1" spans="1:16" s="114" customFormat="1" ht="17.399999999999999">
      <c r="A1" s="908" t="s">
        <v>234</v>
      </c>
      <c r="B1" s="908"/>
      <c r="C1" s="908"/>
      <c r="D1" s="908"/>
      <c r="E1" s="908"/>
      <c r="F1" s="908"/>
      <c r="G1" s="908"/>
    </row>
    <row r="2" spans="1:16" s="114" customFormat="1" ht="17.399999999999999">
      <c r="A2" s="908" t="s">
        <v>451</v>
      </c>
      <c r="B2" s="908"/>
      <c r="C2" s="908"/>
      <c r="D2" s="908"/>
      <c r="E2" s="908"/>
      <c r="F2" s="908"/>
      <c r="G2" s="908"/>
    </row>
    <row r="3" spans="1:16">
      <c r="A3" s="508"/>
      <c r="B3" s="509" t="s">
        <v>0</v>
      </c>
      <c r="C3" s="510" t="s">
        <v>1</v>
      </c>
      <c r="D3" s="511" t="s">
        <v>2</v>
      </c>
      <c r="E3" s="510" t="s">
        <v>3</v>
      </c>
      <c r="F3" s="510" t="s">
        <v>4</v>
      </c>
      <c r="G3" s="510" t="s">
        <v>5</v>
      </c>
      <c r="H3" s="781"/>
      <c r="I3" s="781"/>
      <c r="J3" s="781"/>
      <c r="K3" s="782"/>
      <c r="L3" s="783"/>
      <c r="M3" s="783"/>
      <c r="N3" s="783"/>
      <c r="O3" s="783"/>
      <c r="P3" s="783"/>
    </row>
    <row r="4" spans="1:16">
      <c r="A4" s="508"/>
      <c r="B4" s="513" t="str">
        <f>+CONCATENATE("FY "&amp;Input!$A$4&amp;"/"&amp;Input!$A$5)</f>
        <v>FY 2022/2023</v>
      </c>
      <c r="C4" s="514" t="s">
        <v>36</v>
      </c>
      <c r="D4" s="514" t="s">
        <v>52</v>
      </c>
      <c r="E4" s="514" t="s">
        <v>42</v>
      </c>
      <c r="F4" s="514" t="s">
        <v>331</v>
      </c>
      <c r="G4" s="514" t="s">
        <v>53</v>
      </c>
      <c r="H4" s="784"/>
      <c r="I4" s="785"/>
      <c r="J4" s="785"/>
      <c r="K4" s="786"/>
      <c r="L4" s="787"/>
      <c r="M4" s="787"/>
      <c r="N4" s="787"/>
      <c r="O4" s="787"/>
      <c r="P4" s="787"/>
    </row>
    <row r="5" spans="1:16" ht="18" customHeight="1">
      <c r="A5" s="294">
        <v>1</v>
      </c>
      <c r="B5" s="550" t="s">
        <v>238</v>
      </c>
      <c r="C5" s="530"/>
      <c r="D5" s="517" t="s">
        <v>202</v>
      </c>
      <c r="E5" s="517" t="s">
        <v>58</v>
      </c>
      <c r="F5" s="517"/>
      <c r="G5" s="517"/>
      <c r="H5" s="788"/>
      <c r="I5" s="789"/>
      <c r="J5" s="790"/>
      <c r="K5" s="188"/>
      <c r="L5" s="225"/>
      <c r="M5" s="225"/>
      <c r="N5" s="225"/>
      <c r="O5" s="225"/>
      <c r="P5" s="225"/>
    </row>
    <row r="6" spans="1:16">
      <c r="A6" s="294">
        <f t="shared" ref="A6:A24" si="0">A5+1</f>
        <v>2</v>
      </c>
      <c r="B6" s="538" t="s">
        <v>235</v>
      </c>
      <c r="C6" s="517" t="str">
        <f>"Table 3, Line "&amp;TEXT('T-3'!A46,"0")&amp;" "&amp;'T-3'!D4</f>
        <v>Table 3, Line 39 (C)</v>
      </c>
      <c r="D6" s="530">
        <f>'T-3'!D46</f>
        <v>741593.53970503784</v>
      </c>
      <c r="E6" s="517"/>
      <c r="F6" s="517"/>
      <c r="G6" s="530"/>
      <c r="H6" s="791"/>
      <c r="I6" s="789"/>
      <c r="J6" s="790"/>
      <c r="K6" s="784"/>
      <c r="L6" s="792"/>
      <c r="M6" s="225"/>
      <c r="N6" s="225"/>
      <c r="O6" s="225"/>
      <c r="P6" s="225"/>
    </row>
    <row r="7" spans="1:16">
      <c r="A7" s="294">
        <f t="shared" si="0"/>
        <v>3</v>
      </c>
      <c r="B7" s="551" t="s">
        <v>309</v>
      </c>
      <c r="C7" s="517" t="str">
        <f>"Table 6, Line "&amp;TEXT('T-6'!A38,"0")&amp;" "&amp;'T-6'!E3</f>
        <v>Table 6, Line 33 (D)</v>
      </c>
      <c r="D7" s="530">
        <v>17.820100151351351</v>
      </c>
      <c r="E7" s="593"/>
      <c r="F7" s="517"/>
      <c r="G7" s="530"/>
      <c r="H7" s="793"/>
      <c r="I7" s="789"/>
      <c r="J7" s="790"/>
      <c r="K7" s="784"/>
      <c r="L7" s="792"/>
      <c r="M7" s="225"/>
      <c r="N7" s="225"/>
      <c r="O7" s="225"/>
      <c r="P7" s="225"/>
    </row>
    <row r="8" spans="1:16">
      <c r="A8" s="294">
        <f t="shared" si="0"/>
        <v>4</v>
      </c>
      <c r="B8" s="538" t="s">
        <v>239</v>
      </c>
      <c r="C8" s="517" t="str">
        <f>"Line "&amp;TEXT(A6,"0")&amp;" - Line "&amp;TEXT(A7,"0")</f>
        <v>Line 2 - Line 3</v>
      </c>
      <c r="D8" s="594">
        <f>D6-D7</f>
        <v>741575.71960488649</v>
      </c>
      <c r="E8" s="517"/>
      <c r="F8" s="517"/>
      <c r="G8" s="530"/>
      <c r="H8" s="151"/>
      <c r="I8" s="789"/>
      <c r="J8" s="790"/>
      <c r="K8" s="784"/>
      <c r="L8" s="792"/>
      <c r="M8" s="225"/>
      <c r="N8" s="225"/>
      <c r="O8" s="225"/>
      <c r="P8" s="225"/>
    </row>
    <row r="9" spans="1:16" ht="20.25" customHeight="1">
      <c r="A9" s="294">
        <f t="shared" si="0"/>
        <v>5</v>
      </c>
      <c r="B9" s="550" t="s">
        <v>559</v>
      </c>
      <c r="C9" s="517"/>
      <c r="D9" s="517"/>
      <c r="E9" s="517"/>
      <c r="F9" s="517"/>
      <c r="G9" s="530"/>
      <c r="H9" s="782"/>
      <c r="I9" s="782"/>
      <c r="J9" s="794"/>
      <c r="K9" s="795"/>
      <c r="L9" s="225"/>
      <c r="M9" s="225"/>
      <c r="N9" s="225"/>
      <c r="O9" s="225"/>
      <c r="P9" s="225"/>
    </row>
    <row r="10" spans="1:16">
      <c r="A10" s="294">
        <f t="shared" si="0"/>
        <v>6</v>
      </c>
      <c r="B10" s="538" t="s">
        <v>240</v>
      </c>
      <c r="C10" s="517" t="str">
        <f>"Table 4, Line "&amp;TEXT('T-4'!A47,"0")&amp;" "&amp;'T-4'!$P$4</f>
        <v>Table 4, Line 42 (O)</v>
      </c>
      <c r="D10" s="595"/>
      <c r="E10" s="530">
        <f>'T-4'!P47</f>
        <v>27924.833329528159</v>
      </c>
      <c r="F10" s="530"/>
      <c r="G10" s="530"/>
      <c r="H10" s="187"/>
      <c r="I10" s="188"/>
      <c r="J10" s="188"/>
      <c r="K10" s="188"/>
      <c r="L10" s="151"/>
      <c r="M10" s="151"/>
      <c r="N10" s="151"/>
      <c r="O10" s="151"/>
      <c r="P10" s="151"/>
    </row>
    <row r="11" spans="1:16">
      <c r="A11" s="294">
        <f t="shared" si="0"/>
        <v>7</v>
      </c>
      <c r="B11" s="538" t="s">
        <v>241</v>
      </c>
      <c r="C11" s="517" t="str">
        <f>"Table 4, Line "&amp;TEXT('T-4'!A46,"0")&amp;" "&amp;'T-4'!$P$4</f>
        <v>Table 4, Line 41 (O)</v>
      </c>
      <c r="D11" s="595"/>
      <c r="E11" s="530">
        <f>'T-4'!P46</f>
        <v>27650.734189769508</v>
      </c>
      <c r="F11" s="530"/>
      <c r="G11" s="530"/>
      <c r="H11" s="187"/>
      <c r="I11" s="188"/>
      <c r="J11" s="188"/>
      <c r="K11" s="188"/>
      <c r="L11" s="151"/>
      <c r="M11" s="151"/>
      <c r="N11" s="151"/>
      <c r="O11" s="151"/>
      <c r="P11" s="151"/>
    </row>
    <row r="12" spans="1:16">
      <c r="A12" s="294">
        <f t="shared" si="0"/>
        <v>8</v>
      </c>
      <c r="B12" s="538" t="s">
        <v>386</v>
      </c>
      <c r="C12" s="517" t="str">
        <f>"Table 4, Line "&amp;TEXT('T-4'!A50,"0")&amp;" "&amp;'T-4'!$P$4</f>
        <v>Table 4, Line 45 (O)</v>
      </c>
      <c r="D12" s="595"/>
      <c r="E12" s="530">
        <f>'T-4'!P50</f>
        <v>6912.9060735460189</v>
      </c>
      <c r="F12" s="530"/>
      <c r="G12" s="530"/>
      <c r="H12" s="144"/>
      <c r="I12" s="53"/>
      <c r="J12" s="53"/>
      <c r="K12" s="53"/>
    </row>
    <row r="13" spans="1:16">
      <c r="A13" s="294">
        <f t="shared" si="0"/>
        <v>9</v>
      </c>
      <c r="B13" s="538" t="s">
        <v>387</v>
      </c>
      <c r="C13" s="517" t="str">
        <f>"Table 4, Line "&amp;TEXT('T-4'!A51,"0")&amp;" "&amp;'T-4'!$P$4</f>
        <v>Table 4, Line 46 (O)</v>
      </c>
      <c r="D13" s="595"/>
      <c r="E13" s="530">
        <f>'T-4'!P51</f>
        <v>6792.9230855919441</v>
      </c>
      <c r="F13" s="530"/>
      <c r="G13" s="596"/>
      <c r="H13" s="144"/>
      <c r="I13" s="49"/>
      <c r="J13" s="53"/>
      <c r="K13" s="53"/>
    </row>
    <row r="14" spans="1:16">
      <c r="A14" s="294">
        <f t="shared" si="0"/>
        <v>10</v>
      </c>
      <c r="B14" s="551" t="s">
        <v>283</v>
      </c>
      <c r="C14" s="517" t="str">
        <f>"Table 4, Line "&amp;TEXT('T-4'!A52,"0")&amp;" "&amp;'T-4'!$P$4</f>
        <v>Table 4, Line 47 (O)</v>
      </c>
      <c r="D14" s="595"/>
      <c r="E14" s="530">
        <f>'T-4'!P52</f>
        <v>8306.0625324675311</v>
      </c>
      <c r="F14" s="530"/>
      <c r="G14" s="596"/>
      <c r="H14" s="187"/>
      <c r="I14" s="188"/>
      <c r="J14" s="188"/>
      <c r="K14" s="188"/>
    </row>
    <row r="15" spans="1:16">
      <c r="A15" s="294">
        <f t="shared" si="0"/>
        <v>11</v>
      </c>
      <c r="B15" s="538" t="s">
        <v>326</v>
      </c>
      <c r="C15" s="517" t="s">
        <v>597</v>
      </c>
      <c r="D15" s="595"/>
      <c r="E15" s="530">
        <f>'T-4'!P54</f>
        <v>8495.029583333333</v>
      </c>
      <c r="F15" s="530"/>
      <c r="G15" s="596"/>
      <c r="H15" s="187"/>
      <c r="I15" s="188"/>
      <c r="J15" s="188"/>
      <c r="K15" s="188"/>
    </row>
    <row r="16" spans="1:16">
      <c r="A16" s="294">
        <f t="shared" si="0"/>
        <v>12</v>
      </c>
      <c r="B16" s="538" t="s">
        <v>388</v>
      </c>
      <c r="C16" s="517" t="str">
        <f>"Table 4, Line "&amp;TEXT('T-4'!A55,"0")&amp;" "&amp;'T-4'!$P$4</f>
        <v>Table 4, Line 50 (O)</v>
      </c>
      <c r="D16" s="595"/>
      <c r="E16" s="530">
        <f>'T-4'!P55</f>
        <v>8375.0465953792591</v>
      </c>
      <c r="F16" s="530"/>
      <c r="G16" s="597"/>
      <c r="H16" s="187"/>
      <c r="I16" s="188"/>
      <c r="J16" s="188"/>
      <c r="K16" s="188"/>
    </row>
    <row r="17" spans="1:11">
      <c r="A17" s="294">
        <f t="shared" si="0"/>
        <v>13</v>
      </c>
      <c r="B17" s="551" t="s">
        <v>304</v>
      </c>
      <c r="C17" s="517" t="str">
        <f>"Table 4, Line "&amp;TEXT('T-4'!A56,"0")&amp;" "&amp;'T-4'!$P$4</f>
        <v>Table 4, Line 51 (O)</v>
      </c>
      <c r="D17" s="595"/>
      <c r="E17" s="530">
        <f>'T-4'!P56</f>
        <v>9700.6534867306618</v>
      </c>
      <c r="F17" s="530"/>
      <c r="G17" s="596"/>
      <c r="H17" s="187"/>
      <c r="I17" s="188"/>
      <c r="J17" s="188"/>
      <c r="K17" s="188"/>
    </row>
    <row r="18" spans="1:11">
      <c r="A18" s="294">
        <f t="shared" si="0"/>
        <v>14</v>
      </c>
      <c r="B18" s="538" t="s">
        <v>242</v>
      </c>
      <c r="C18" s="517" t="str">
        <f>"Table 5, Line "&amp;TEXT('T-5'!A24,"0")&amp;" "&amp;'T-5'!$P$3</f>
        <v>Table 5, Line 20 (O)</v>
      </c>
      <c r="D18" s="595"/>
      <c r="E18" s="530">
        <f>'T-5'!P24</f>
        <v>260.50555235535074</v>
      </c>
      <c r="F18" s="530"/>
      <c r="G18" s="530"/>
      <c r="H18" s="187"/>
      <c r="I18" s="188"/>
      <c r="J18" s="188"/>
      <c r="K18" s="188"/>
    </row>
    <row r="19" spans="1:11">
      <c r="A19" s="294">
        <f t="shared" si="0"/>
        <v>15</v>
      </c>
      <c r="B19" s="538" t="s">
        <v>243</v>
      </c>
      <c r="C19" s="517" t="str">
        <f>"Table 5, Line "&amp;TEXT('T-5'!A25,"0")&amp;" "&amp;'T-5'!$P$3</f>
        <v>Table 5, Line 21 (O)</v>
      </c>
      <c r="D19" s="595"/>
      <c r="E19" s="530">
        <f>'T-5'!P25</f>
        <v>681.7072132616488</v>
      </c>
      <c r="F19" s="530"/>
      <c r="G19" s="530"/>
      <c r="H19" s="187"/>
      <c r="I19" s="188"/>
      <c r="J19" s="188"/>
      <c r="K19" s="188"/>
    </row>
    <row r="20" spans="1:11">
      <c r="A20" s="294">
        <f t="shared" si="0"/>
        <v>16</v>
      </c>
      <c r="B20" s="538" t="s">
        <v>45</v>
      </c>
      <c r="C20" s="517" t="str">
        <f>"Table 5, Line "&amp;TEXT('T-5'!A26,"0")&amp;" "&amp;'T-5'!$P$3</f>
        <v>Table 5, Line 22 (O)</v>
      </c>
      <c r="D20" s="598"/>
      <c r="E20" s="530">
        <f>'T-5'!P26</f>
        <v>209.78298771121354</v>
      </c>
      <c r="F20" s="530"/>
      <c r="G20" s="530"/>
      <c r="H20" s="187"/>
      <c r="I20" s="188"/>
      <c r="J20" s="188"/>
      <c r="K20" s="188"/>
    </row>
    <row r="21" spans="1:11">
      <c r="A21" s="294">
        <f t="shared" si="0"/>
        <v>17</v>
      </c>
      <c r="B21" s="550" t="s">
        <v>244</v>
      </c>
      <c r="C21" s="599"/>
      <c r="D21" s="529"/>
      <c r="E21" s="530"/>
      <c r="F21" s="530"/>
      <c r="G21" s="596"/>
      <c r="H21" s="187"/>
      <c r="I21" s="188"/>
      <c r="J21" s="188"/>
      <c r="K21" s="188"/>
    </row>
    <row r="22" spans="1:11" ht="21" customHeight="1">
      <c r="A22" s="294">
        <f t="shared" si="0"/>
        <v>18</v>
      </c>
      <c r="B22" s="538" t="s">
        <v>378</v>
      </c>
      <c r="C22" s="517" t="str">
        <f>"Line "&amp;TEXT(A16,"0")</f>
        <v>Line 12</v>
      </c>
      <c r="D22" s="529"/>
      <c r="E22" s="530">
        <f>E16</f>
        <v>8375.0465953792591</v>
      </c>
      <c r="F22" s="530"/>
      <c r="G22" s="596"/>
      <c r="H22" s="187"/>
      <c r="I22" s="188"/>
      <c r="J22" s="188"/>
      <c r="K22" s="188"/>
    </row>
    <row r="23" spans="1:11">
      <c r="A23" s="294">
        <f t="shared" si="0"/>
        <v>19</v>
      </c>
      <c r="B23" s="538" t="s">
        <v>389</v>
      </c>
      <c r="C23" s="539" t="str">
        <f>"Line "&amp;TEXT(A11,"0")</f>
        <v>Line 7</v>
      </c>
      <c r="D23" s="529"/>
      <c r="E23" s="530">
        <f>E11</f>
        <v>27650.734189769508</v>
      </c>
      <c r="F23" s="530"/>
      <c r="G23" s="596"/>
      <c r="H23" s="187"/>
      <c r="I23" s="188"/>
      <c r="J23" s="188"/>
      <c r="K23" s="188"/>
    </row>
    <row r="24" spans="1:11">
      <c r="A24" s="294">
        <f t="shared" si="0"/>
        <v>20</v>
      </c>
      <c r="B24" s="538" t="s">
        <v>242</v>
      </c>
      <c r="C24" s="539" t="str">
        <f>"Line "&amp;TEXT(A18,"0")&amp;" x (7/5)"</f>
        <v>Line 14 x (7/5)</v>
      </c>
      <c r="D24" s="529"/>
      <c r="E24" s="530">
        <f>E18*7/5</f>
        <v>364.70777329749103</v>
      </c>
      <c r="F24" s="530"/>
      <c r="G24" s="596"/>
      <c r="H24" s="144"/>
      <c r="I24" s="53"/>
      <c r="J24" s="53"/>
      <c r="K24" s="53"/>
    </row>
    <row r="25" spans="1:11">
      <c r="A25" s="294">
        <f t="shared" ref="A25:A55" si="1">A24+1</f>
        <v>21</v>
      </c>
      <c r="B25" s="538" t="s">
        <v>243</v>
      </c>
      <c r="C25" s="539" t="str">
        <f>"Line "&amp;TEXT(A19,"0")</f>
        <v>Line 15</v>
      </c>
      <c r="D25" s="529"/>
      <c r="E25" s="530">
        <f>E19</f>
        <v>681.7072132616488</v>
      </c>
      <c r="F25" s="530"/>
      <c r="G25" s="596"/>
      <c r="H25" s="144"/>
      <c r="I25" s="53"/>
      <c r="J25" s="53"/>
      <c r="K25" s="53"/>
    </row>
    <row r="26" spans="1:11">
      <c r="A26" s="294">
        <f t="shared" si="1"/>
        <v>22</v>
      </c>
      <c r="B26" s="538" t="s">
        <v>45</v>
      </c>
      <c r="C26" s="539" t="str">
        <f>"Line "&amp;TEXT(A20,"0")&amp;" x (7/5) x (24/16)"</f>
        <v>Line 16 x (7/5) x (24/16)</v>
      </c>
      <c r="D26" s="529"/>
      <c r="E26" s="600">
        <f>E20*7/5*24/16</f>
        <v>440.54427419354846</v>
      </c>
      <c r="F26" s="530"/>
      <c r="G26" s="596"/>
      <c r="H26" s="187"/>
      <c r="I26" s="188"/>
      <c r="J26" s="188"/>
      <c r="K26" s="188"/>
    </row>
    <row r="27" spans="1:11">
      <c r="A27" s="294">
        <f t="shared" si="1"/>
        <v>23</v>
      </c>
      <c r="B27" s="528" t="s">
        <v>379</v>
      </c>
      <c r="C27" s="517" t="str">
        <f>"Sum of Lines "&amp;TEXT(A22,"0")&amp;" through "&amp;TEXT(A26,"0")</f>
        <v>Sum of Lines 18 through 22</v>
      </c>
      <c r="D27" s="529"/>
      <c r="E27" s="530">
        <f>SUM(E22:E26)</f>
        <v>37512.740045901461</v>
      </c>
      <c r="F27" s="568"/>
      <c r="G27" s="596"/>
      <c r="H27" s="187"/>
      <c r="I27" s="188"/>
      <c r="J27" s="188"/>
      <c r="K27" s="188"/>
    </row>
    <row r="28" spans="1:11">
      <c r="A28" s="294">
        <f t="shared" si="1"/>
        <v>24</v>
      </c>
      <c r="B28" s="550" t="s">
        <v>313</v>
      </c>
      <c r="C28" s="517"/>
      <c r="D28" s="529"/>
      <c r="E28" s="568"/>
      <c r="F28" s="568"/>
      <c r="G28" s="530"/>
      <c r="H28" s="187"/>
      <c r="I28" s="188"/>
      <c r="J28" s="188"/>
      <c r="K28" s="188"/>
    </row>
    <row r="29" spans="1:11">
      <c r="A29" s="294">
        <f t="shared" si="1"/>
        <v>25</v>
      </c>
      <c r="B29" s="551" t="s">
        <v>358</v>
      </c>
      <c r="C29" s="539" t="str">
        <f>"Line "&amp;TEXT(A11,"0")&amp;" + Lines "&amp;TEXT(A24,"0")&amp;" through "&amp;TEXT(A26,"0")</f>
        <v>Line 7 + Lines 20 through 22</v>
      </c>
      <c r="D29" s="529"/>
      <c r="E29" s="530">
        <f>(E11+E24+E25+E26)</f>
        <v>29137.693450522194</v>
      </c>
      <c r="F29" s="601"/>
      <c r="G29" s="530"/>
      <c r="H29" s="188"/>
      <c r="I29" s="188"/>
      <c r="J29" s="188"/>
      <c r="K29" s="188"/>
    </row>
    <row r="30" spans="1:11">
      <c r="A30" s="294">
        <f t="shared" si="1"/>
        <v>26</v>
      </c>
      <c r="B30" s="551" t="s">
        <v>237</v>
      </c>
      <c r="C30" s="539" t="str">
        <f>"Line "&amp;TEXT(A27,"0")</f>
        <v>Line 23</v>
      </c>
      <c r="D30" s="529"/>
      <c r="E30" s="600">
        <f>$E$27</f>
        <v>37512.740045901461</v>
      </c>
      <c r="F30" s="601"/>
      <c r="G30" s="530"/>
      <c r="H30" s="53"/>
      <c r="I30" s="53"/>
      <c r="J30" s="53"/>
      <c r="K30" s="53"/>
    </row>
    <row r="31" spans="1:11" ht="27.75" customHeight="1">
      <c r="A31" s="294">
        <f t="shared" si="1"/>
        <v>27</v>
      </c>
      <c r="B31" s="551" t="s">
        <v>315</v>
      </c>
      <c r="C31" s="539" t="str">
        <f>"Line "&amp;TEXT(A29,"0")&amp;" / Line "&amp;TEXT(A30,"0")</f>
        <v>Line 25 / Line 26</v>
      </c>
      <c r="D31" s="529"/>
      <c r="E31" s="529"/>
      <c r="F31" s="602">
        <f>E29/E30</f>
        <v>0.77674127282807481</v>
      </c>
      <c r="G31" s="530"/>
      <c r="H31" s="53"/>
      <c r="I31" s="53"/>
      <c r="J31" s="53"/>
      <c r="K31" s="53"/>
    </row>
    <row r="32" spans="1:11">
      <c r="A32" s="294">
        <f t="shared" si="1"/>
        <v>28</v>
      </c>
      <c r="B32" s="551" t="s">
        <v>378</v>
      </c>
      <c r="C32" s="539" t="str">
        <f>"Line "&amp;TEXT(A16,"0")</f>
        <v>Line 12</v>
      </c>
      <c r="D32" s="529"/>
      <c r="E32" s="530">
        <f>+E16</f>
        <v>8375.0465953792591</v>
      </c>
      <c r="F32" s="568"/>
      <c r="G32" s="530"/>
      <c r="H32" s="53"/>
      <c r="I32" s="53"/>
      <c r="J32" s="53"/>
      <c r="K32" s="53"/>
    </row>
    <row r="33" spans="1:11">
      <c r="A33" s="294">
        <f t="shared" si="1"/>
        <v>29</v>
      </c>
      <c r="B33" s="551" t="s">
        <v>237</v>
      </c>
      <c r="C33" s="539" t="str">
        <f>"Line "&amp;TEXT(A27,"0")</f>
        <v>Line 23</v>
      </c>
      <c r="D33" s="529"/>
      <c r="E33" s="600">
        <f>$E$27</f>
        <v>37512.740045901461</v>
      </c>
      <c r="F33" s="568"/>
      <c r="G33" s="530"/>
      <c r="H33" s="53"/>
      <c r="I33" s="53"/>
      <c r="J33" s="53"/>
      <c r="K33" s="53"/>
    </row>
    <row r="34" spans="1:11" ht="24" customHeight="1">
      <c r="A34" s="294">
        <f t="shared" si="1"/>
        <v>30</v>
      </c>
      <c r="B34" s="551" t="s">
        <v>314</v>
      </c>
      <c r="C34" s="539" t="str">
        <f>"Line "&amp;TEXT(A32,"0")&amp;" / Line "&amp;TEXT(A33,"0")</f>
        <v>Line 28 / Line 29</v>
      </c>
      <c r="D34" s="529"/>
      <c r="E34" s="529"/>
      <c r="F34" s="602">
        <f>E32/E33</f>
        <v>0.22325872717192499</v>
      </c>
      <c r="G34" s="530"/>
      <c r="H34" s="53"/>
      <c r="I34" s="53"/>
      <c r="J34" s="53"/>
      <c r="K34" s="53"/>
    </row>
    <row r="35" spans="1:11">
      <c r="A35" s="294">
        <f t="shared" si="1"/>
        <v>31</v>
      </c>
      <c r="B35" s="550" t="s">
        <v>324</v>
      </c>
      <c r="C35" s="517"/>
      <c r="D35" s="529"/>
      <c r="E35" s="568"/>
      <c r="F35" s="568"/>
      <c r="G35" s="530"/>
      <c r="H35" s="53"/>
      <c r="I35" s="53"/>
      <c r="J35" s="53"/>
      <c r="K35" s="53"/>
    </row>
    <row r="36" spans="1:11">
      <c r="A36" s="294">
        <f t="shared" si="1"/>
        <v>32</v>
      </c>
      <c r="B36" s="551" t="s">
        <v>316</v>
      </c>
      <c r="C36" s="517" t="str">
        <f>"Line "&amp;TEXT(A8,"0")</f>
        <v>Line 4</v>
      </c>
      <c r="D36" s="603">
        <f>D8</f>
        <v>741575.71960488649</v>
      </c>
      <c r="E36" s="568"/>
      <c r="F36" s="568"/>
      <c r="G36" s="530"/>
      <c r="H36" s="188"/>
      <c r="I36" s="188"/>
      <c r="J36" s="188"/>
      <c r="K36" s="188"/>
    </row>
    <row r="37" spans="1:11" ht="29.25" customHeight="1">
      <c r="A37" s="294">
        <f t="shared" si="1"/>
        <v>33</v>
      </c>
      <c r="B37" s="551" t="s">
        <v>317</v>
      </c>
      <c r="C37" s="539" t="str">
        <f>"Line "&amp;TEXT(A31,"0")</f>
        <v>Line 27</v>
      </c>
      <c r="D37" s="568"/>
      <c r="E37" s="568"/>
      <c r="F37" s="602">
        <f>F31</f>
        <v>0.77674127282807481</v>
      </c>
      <c r="G37" s="530"/>
      <c r="H37" s="188"/>
      <c r="I37" s="188"/>
      <c r="J37" s="188"/>
      <c r="K37" s="188"/>
    </row>
    <row r="38" spans="1:11">
      <c r="A38" s="294">
        <f t="shared" si="1"/>
        <v>34</v>
      </c>
      <c r="B38" s="551" t="s">
        <v>320</v>
      </c>
      <c r="C38" s="517" t="str">
        <f>"Line "&amp;TEXT(A36,"0")&amp;" x Line "&amp;TEXT(A37,"0")</f>
        <v>Line 32 x Line 33</v>
      </c>
      <c r="D38" s="603">
        <f>D36*F37</f>
        <v>576012.46834429505</v>
      </c>
      <c r="E38" s="568"/>
      <c r="F38" s="568"/>
      <c r="G38" s="530"/>
      <c r="H38" s="188"/>
      <c r="I38" s="188"/>
      <c r="J38" s="188"/>
      <c r="K38" s="188"/>
    </row>
    <row r="39" spans="1:11" ht="15.75" customHeight="1">
      <c r="A39" s="294">
        <f t="shared" si="1"/>
        <v>35</v>
      </c>
      <c r="B39" s="551" t="s">
        <v>359</v>
      </c>
      <c r="C39" s="539" t="str">
        <f>"Line "&amp;TEXT(A29,"0")</f>
        <v>Line 25</v>
      </c>
      <c r="D39" s="517"/>
      <c r="E39" s="603">
        <f>E29</f>
        <v>29137.693450522194</v>
      </c>
      <c r="F39" s="603"/>
      <c r="G39" s="530"/>
      <c r="H39" s="188"/>
      <c r="I39" s="188"/>
      <c r="J39" s="188"/>
      <c r="K39" s="188"/>
    </row>
    <row r="40" spans="1:11">
      <c r="A40" s="294">
        <f t="shared" si="1"/>
        <v>36</v>
      </c>
      <c r="B40" s="551" t="s">
        <v>318</v>
      </c>
      <c r="C40" s="517" t="str">
        <f>"Line "&amp;TEXT(A38,"0")&amp;" / Line "&amp;TEXT(A39,"0")</f>
        <v>Line 34 / Line 35</v>
      </c>
      <c r="D40" s="568"/>
      <c r="E40" s="568"/>
      <c r="F40" s="568"/>
      <c r="G40" s="566">
        <f>D38/E39</f>
        <v>19.768636433848265</v>
      </c>
      <c r="H40" s="188"/>
      <c r="I40" s="188"/>
      <c r="J40" s="188"/>
      <c r="K40" s="188"/>
    </row>
    <row r="41" spans="1:11">
      <c r="A41" s="294">
        <f t="shared" si="1"/>
        <v>37</v>
      </c>
      <c r="B41" s="551" t="s">
        <v>248</v>
      </c>
      <c r="C41" s="517" t="str">
        <f>"Line "&amp;TEXT(A40,"0")&amp;" / 12"</f>
        <v>Line 36 / 12</v>
      </c>
      <c r="D41" s="568"/>
      <c r="E41" s="568"/>
      <c r="F41" s="568"/>
      <c r="G41" s="604">
        <f>+ROUNDUP(G40/12,3)</f>
        <v>1.6479999999999999</v>
      </c>
      <c r="H41" s="188"/>
      <c r="I41" s="188"/>
      <c r="J41" s="188"/>
      <c r="K41" s="188"/>
    </row>
    <row r="42" spans="1:11">
      <c r="A42" s="294">
        <f t="shared" si="1"/>
        <v>38</v>
      </c>
      <c r="B42" s="551" t="s">
        <v>249</v>
      </c>
      <c r="C42" s="517" t="str">
        <f>"Line "&amp;TEXT(A40,"0")&amp;" / (365) x (7/5)"</f>
        <v>Line 36 / (365) x (7/5)</v>
      </c>
      <c r="D42" s="568"/>
      <c r="E42" s="568"/>
      <c r="F42" s="568"/>
      <c r="G42" s="596">
        <f>ROUND(G40/365*7/5,3)</f>
        <v>7.5999999999999998E-2</v>
      </c>
      <c r="H42" s="188"/>
      <c r="I42" s="188"/>
      <c r="J42" s="188"/>
      <c r="K42" s="188"/>
    </row>
    <row r="43" spans="1:11">
      <c r="A43" s="294">
        <f t="shared" si="1"/>
        <v>39</v>
      </c>
      <c r="B43" s="551" t="s">
        <v>250</v>
      </c>
      <c r="C43" s="517" t="str">
        <f>"Line "&amp;TEXT(A40,"0")&amp;" / (365)"</f>
        <v>Line 36 / (365)</v>
      </c>
      <c r="D43" s="568"/>
      <c r="E43" s="568"/>
      <c r="F43" s="568"/>
      <c r="G43" s="596">
        <f>ROUND(G40/365,3)</f>
        <v>5.3999999999999999E-2</v>
      </c>
      <c r="H43" s="188"/>
      <c r="I43" s="188"/>
      <c r="J43" s="188"/>
      <c r="K43" s="188"/>
    </row>
    <row r="44" spans="1:11">
      <c r="A44" s="294">
        <f t="shared" si="1"/>
        <v>40</v>
      </c>
      <c r="B44" s="551" t="s">
        <v>251</v>
      </c>
      <c r="C44" s="517" t="str">
        <f>"Line "&amp;TEXT(A40,"0")&amp;" / (8.76) x (7/5) x (24/16)"</f>
        <v>Line 36 / (8.76) x (7/5) x (24/16)</v>
      </c>
      <c r="D44" s="568"/>
      <c r="E44" s="568"/>
      <c r="F44" s="568"/>
      <c r="G44" s="605">
        <f>ROUND(G40/8.76*7/5*24/16,2)</f>
        <v>4.74</v>
      </c>
      <c r="H44" s="188"/>
      <c r="I44" s="188"/>
      <c r="J44" s="188"/>
      <c r="K44" s="188"/>
    </row>
    <row r="45" spans="1:11">
      <c r="A45" s="294">
        <f t="shared" si="1"/>
        <v>41</v>
      </c>
      <c r="B45" s="538" t="s">
        <v>323</v>
      </c>
      <c r="C45" s="517"/>
      <c r="D45" s="529"/>
      <c r="E45" s="568"/>
      <c r="F45" s="568"/>
      <c r="G45" s="529"/>
      <c r="H45" s="188"/>
      <c r="I45" s="188"/>
      <c r="J45" s="188"/>
      <c r="K45" s="188"/>
    </row>
    <row r="46" spans="1:11">
      <c r="A46" s="294">
        <f t="shared" si="1"/>
        <v>42</v>
      </c>
      <c r="B46" s="551" t="s">
        <v>316</v>
      </c>
      <c r="C46" s="517" t="str">
        <f>"Line "&amp;TEXT(A8,"0")</f>
        <v>Line 4</v>
      </c>
      <c r="D46" s="603">
        <f>D8</f>
        <v>741575.71960488649</v>
      </c>
      <c r="E46" s="568"/>
      <c r="F46" s="568"/>
      <c r="G46" s="529"/>
      <c r="H46" s="188"/>
      <c r="I46" s="188"/>
      <c r="J46" s="188"/>
      <c r="K46" s="188"/>
    </row>
    <row r="47" spans="1:11">
      <c r="A47" s="294">
        <f t="shared" si="1"/>
        <v>43</v>
      </c>
      <c r="B47" s="551" t="s">
        <v>319</v>
      </c>
      <c r="C47" s="517" t="s">
        <v>598</v>
      </c>
      <c r="D47" s="568"/>
      <c r="E47" s="568"/>
      <c r="F47" s="602">
        <f>F34</f>
        <v>0.22325872717192499</v>
      </c>
      <c r="G47" s="530"/>
      <c r="H47" s="188"/>
      <c r="I47" s="188"/>
      <c r="J47" s="188"/>
      <c r="K47" s="188"/>
    </row>
    <row r="48" spans="1:11">
      <c r="A48" s="294">
        <f t="shared" si="1"/>
        <v>44</v>
      </c>
      <c r="B48" s="551" t="s">
        <v>321</v>
      </c>
      <c r="C48" s="517" t="str">
        <f>"Line "&amp;TEXT(A46,"0")&amp;" x Line "&amp;TEXT(A47,"0")</f>
        <v>Line 42 x Line 43</v>
      </c>
      <c r="D48" s="603">
        <f>D46*F47</f>
        <v>165563.25126059129</v>
      </c>
      <c r="E48" s="568"/>
      <c r="F48" s="568"/>
      <c r="G48" s="530"/>
      <c r="H48" s="188"/>
      <c r="I48" s="188"/>
      <c r="J48" s="188"/>
      <c r="K48" s="188"/>
    </row>
    <row r="49" spans="1:11">
      <c r="A49" s="294">
        <f t="shared" si="1"/>
        <v>45</v>
      </c>
      <c r="B49" s="551" t="s">
        <v>325</v>
      </c>
      <c r="C49" s="517" t="str">
        <f>"Line "&amp;TEXT(A13,"0")</f>
        <v>Line 9</v>
      </c>
      <c r="D49" s="568"/>
      <c r="E49" s="354">
        <f>E13</f>
        <v>6792.9230855919441</v>
      </c>
      <c r="F49" s="354"/>
      <c r="G49" s="530"/>
      <c r="H49" s="782"/>
      <c r="I49" s="188"/>
      <c r="J49" s="188"/>
      <c r="K49" s="188"/>
    </row>
    <row r="50" spans="1:11">
      <c r="A50" s="294">
        <f t="shared" si="1"/>
        <v>46</v>
      </c>
      <c r="B50" s="551" t="s">
        <v>322</v>
      </c>
      <c r="C50" s="517" t="str">
        <f>"Line "&amp;TEXT(A48,"0")&amp;" / Line "&amp;TEXT(A49,"0")</f>
        <v>Line 44 / Line 45</v>
      </c>
      <c r="D50" s="568"/>
      <c r="E50" s="568"/>
      <c r="F50" s="568"/>
      <c r="G50" s="606">
        <f>D48/E49</f>
        <v>24.372902383034106</v>
      </c>
      <c r="H50" s="188"/>
      <c r="I50" s="187"/>
      <c r="J50" s="796"/>
      <c r="K50" s="188"/>
    </row>
    <row r="51" spans="1:11">
      <c r="A51" s="294">
        <f t="shared" si="1"/>
        <v>47</v>
      </c>
      <c r="B51" s="551" t="s">
        <v>248</v>
      </c>
      <c r="C51" s="517" t="str">
        <f>"Line "&amp;TEXT(A50,"0")&amp;" / 12"</f>
        <v>Line 46 / 12</v>
      </c>
      <c r="D51" s="568"/>
      <c r="E51" s="568"/>
      <c r="F51" s="568"/>
      <c r="G51" s="607">
        <f>ROUND(G50/12,3)</f>
        <v>2.0310000000000001</v>
      </c>
      <c r="H51" s="188"/>
      <c r="I51" s="222"/>
      <c r="J51" s="796"/>
      <c r="K51" s="188"/>
    </row>
    <row r="52" spans="1:11">
      <c r="A52" s="294">
        <f t="shared" si="1"/>
        <v>48</v>
      </c>
      <c r="B52" s="550" t="s">
        <v>245</v>
      </c>
      <c r="C52" s="517"/>
      <c r="D52" s="530"/>
      <c r="E52" s="517"/>
      <c r="F52" s="517"/>
      <c r="G52" s="529"/>
      <c r="H52" s="188"/>
      <c r="I52" s="222"/>
      <c r="J52" s="796"/>
      <c r="K52" s="188"/>
    </row>
    <row r="53" spans="1:11">
      <c r="A53" s="294">
        <f t="shared" si="1"/>
        <v>49</v>
      </c>
      <c r="B53" s="538" t="s">
        <v>246</v>
      </c>
      <c r="C53" s="517" t="str">
        <f>"(Line "&amp;TEXT(A12,"0")&amp;" - Line "&amp;TEXT(A13,"0")&amp;") x Line "&amp;TEXT(A50,"0")&amp;""</f>
        <v>(Line 8 - Line 9) x Line 46</v>
      </c>
      <c r="D53" s="608">
        <f>(E12-E13)*G50</f>
        <v>2924.3336530294223</v>
      </c>
      <c r="E53" s="517"/>
      <c r="F53" s="517"/>
      <c r="G53" s="529"/>
      <c r="H53" s="188"/>
      <c r="I53" s="222"/>
      <c r="J53" s="796"/>
      <c r="K53" s="188"/>
    </row>
    <row r="54" spans="1:11">
      <c r="A54" s="294">
        <f t="shared" si="1"/>
        <v>50</v>
      </c>
      <c r="B54" s="538" t="s">
        <v>207</v>
      </c>
      <c r="C54" s="517" t="str">
        <f>"(Line "&amp;TEXT(A10,"0")&amp;" - Line "&amp;TEXT(A11,"0")&amp;") x Line "&amp;TEXT(A40,"0")&amp;""</f>
        <v>(Line 6 - Line 7) x Line 36</v>
      </c>
      <c r="D54" s="608">
        <f>(E10-E11)*G40</f>
        <v>5418.5662407193413</v>
      </c>
      <c r="E54" s="517"/>
      <c r="F54" s="517"/>
      <c r="G54" s="532"/>
      <c r="H54" s="188"/>
      <c r="I54" s="187"/>
      <c r="J54" s="796"/>
      <c r="K54" s="188"/>
    </row>
    <row r="55" spans="1:11" ht="25.5" customHeight="1">
      <c r="A55" s="294">
        <f t="shared" si="1"/>
        <v>51</v>
      </c>
      <c r="B55" s="551" t="s">
        <v>208</v>
      </c>
      <c r="C55" s="517" t="str">
        <f>"Line "&amp;TEXT(A53,"0")&amp;" + Line "&amp;TEXT(A54,"0")</f>
        <v>Line 49 + Line 50</v>
      </c>
      <c r="D55" s="609">
        <f>D53+D54</f>
        <v>8342.8998937487631</v>
      </c>
      <c r="E55" s="517"/>
      <c r="F55" s="517"/>
      <c r="G55" s="530"/>
      <c r="H55" s="188"/>
      <c r="I55" s="188"/>
      <c r="J55" s="188"/>
      <c r="K55" s="188"/>
    </row>
    <row r="56" spans="1:11">
      <c r="A56" s="592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92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C64" s="53"/>
      <c r="D64" s="53"/>
      <c r="E64" s="53"/>
      <c r="F64" s="53"/>
      <c r="G64" s="53"/>
      <c r="H64" s="53"/>
      <c r="I64" s="53"/>
      <c r="J64" s="53"/>
      <c r="K64" s="53"/>
    </row>
    <row r="65" spans="3:11" ht="27.75" customHeight="1">
      <c r="C65" s="53"/>
      <c r="D65" s="53"/>
      <c r="E65" s="53"/>
      <c r="F65" s="53"/>
      <c r="G65" s="53"/>
      <c r="H65" s="53"/>
      <c r="I65" s="53"/>
      <c r="J65" s="53"/>
      <c r="K65" s="53"/>
    </row>
    <row r="66" spans="3:11">
      <c r="C66" s="53"/>
      <c r="D66" s="53"/>
      <c r="E66" s="53"/>
      <c r="F66" s="53"/>
      <c r="G66" s="53"/>
      <c r="H66" s="53"/>
      <c r="I66" s="53"/>
      <c r="J66" s="53"/>
      <c r="K66" s="53"/>
    </row>
    <row r="67" spans="3:11">
      <c r="C67" s="53"/>
      <c r="D67" s="53"/>
      <c r="E67" s="53"/>
      <c r="F67" s="53"/>
      <c r="G67" s="53"/>
      <c r="H67" s="53"/>
      <c r="I67" s="53"/>
      <c r="J67" s="53"/>
      <c r="K67" s="53"/>
    </row>
    <row r="68" spans="3:11">
      <c r="C68" s="53"/>
      <c r="D68" s="53"/>
      <c r="E68" s="53"/>
      <c r="F68" s="53"/>
      <c r="G68" s="53"/>
      <c r="H68" s="53"/>
      <c r="I68" s="53"/>
      <c r="J68" s="53"/>
      <c r="K68" s="53"/>
    </row>
    <row r="69" spans="3:11">
      <c r="C69" s="53"/>
      <c r="D69" s="53"/>
      <c r="E69" s="53"/>
      <c r="F69" s="53"/>
      <c r="G69" s="53"/>
      <c r="H69" s="53"/>
      <c r="I69" s="53"/>
      <c r="J69" s="53"/>
      <c r="K69" s="53"/>
    </row>
    <row r="70" spans="3:11">
      <c r="C70" s="53"/>
      <c r="D70" s="53"/>
      <c r="E70" s="53"/>
      <c r="F70" s="53"/>
      <c r="G70" s="53"/>
      <c r="H70" s="53"/>
      <c r="I70" s="53"/>
      <c r="J70" s="53"/>
      <c r="K70" s="53"/>
    </row>
    <row r="71" spans="3:11">
      <c r="C71" s="53"/>
      <c r="D71" s="53"/>
      <c r="E71" s="53"/>
      <c r="F71" s="53"/>
      <c r="G71" s="53"/>
      <c r="H71" s="53"/>
      <c r="I71" s="53"/>
      <c r="J71" s="53"/>
      <c r="K71" s="53"/>
    </row>
    <row r="72" spans="3:11">
      <c r="C72" s="53"/>
      <c r="D72" s="53"/>
      <c r="E72" s="53"/>
      <c r="F72" s="53"/>
      <c r="G72" s="53"/>
      <c r="H72" s="53"/>
      <c r="I72" s="53"/>
      <c r="J72" s="53"/>
      <c r="K72" s="53"/>
    </row>
    <row r="73" spans="3:11">
      <c r="G73" s="53"/>
      <c r="H73" s="53"/>
      <c r="I73" s="53"/>
      <c r="J73" s="53"/>
      <c r="K73" s="53"/>
    </row>
    <row r="74" spans="3:11">
      <c r="G74" s="53"/>
      <c r="H74" s="53"/>
      <c r="I74" s="53"/>
      <c r="J74" s="53"/>
      <c r="K74" s="53"/>
    </row>
    <row r="75" spans="3:11">
      <c r="H75" s="53"/>
      <c r="I75" s="53"/>
      <c r="J75" s="53"/>
      <c r="K75" s="53"/>
    </row>
    <row r="76" spans="3:11">
      <c r="H76" s="53"/>
      <c r="I76" s="53"/>
      <c r="J76" s="53"/>
      <c r="K76" s="53"/>
    </row>
    <row r="77" spans="3:11">
      <c r="H77" s="53"/>
      <c r="I77" s="53"/>
      <c r="J77" s="53"/>
      <c r="K77" s="53"/>
    </row>
    <row r="78" spans="3:11">
      <c r="H78" s="53"/>
      <c r="I78" s="53"/>
      <c r="J78" s="53"/>
      <c r="K78" s="53"/>
    </row>
    <row r="79" spans="3:11">
      <c r="H79" s="53"/>
      <c r="I79" s="53"/>
      <c r="J79" s="53"/>
      <c r="K79" s="53"/>
    </row>
    <row r="80" spans="3:11">
      <c r="H80" s="53"/>
      <c r="I80" s="53"/>
      <c r="J80" s="53"/>
      <c r="K80" s="53"/>
    </row>
    <row r="81" spans="8:11">
      <c r="H81" s="53"/>
      <c r="I81" s="53"/>
      <c r="J81" s="53"/>
      <c r="K81" s="53"/>
    </row>
    <row r="82" spans="8:11">
      <c r="H82" s="53"/>
      <c r="I82" s="53"/>
      <c r="J82" s="53"/>
      <c r="K82" s="53"/>
    </row>
    <row r="83" spans="8:11">
      <c r="H83" s="53"/>
      <c r="I83" s="53"/>
      <c r="J83" s="53"/>
      <c r="K83" s="53"/>
    </row>
    <row r="84" spans="8:11">
      <c r="H84" s="53"/>
      <c r="I84" s="53"/>
      <c r="J84" s="53"/>
      <c r="K84" s="53"/>
    </row>
  </sheetData>
  <mergeCells count="2">
    <mergeCell ref="A1:G1"/>
    <mergeCell ref="A2:G2"/>
  </mergeCells>
  <phoneticPr fontId="22" type="noConversion"/>
  <printOptions horizontalCentered="1"/>
  <pageMargins left="0.5" right="0.5" top="1" bottom="1" header="0.5" footer="0.5"/>
  <pageSetup scale="77" fitToHeight="0" orientation="landscape" blackAndWhite="1" horizontalDpi="300" verticalDpi="300" r:id="rId1"/>
  <headerFooter alignWithMargins="0"/>
  <rowBreaks count="1" manualBreakCount="1">
    <brk id="5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70C0"/>
    <pageSetUpPr fitToPage="1"/>
  </sheetPr>
  <dimension ref="A1:P89"/>
  <sheetViews>
    <sheetView zoomScale="80" zoomScaleNormal="80" workbookViewId="0">
      <selection sqref="A1:F1"/>
    </sheetView>
  </sheetViews>
  <sheetFormatPr defaultColWidth="8" defaultRowHeight="15.6"/>
  <cols>
    <col min="1" max="1" width="5" style="139" customWidth="1"/>
    <col min="2" max="2" width="49.6640625" style="140" bestFit="1" customWidth="1"/>
    <col min="3" max="3" width="46" style="54" bestFit="1" customWidth="1"/>
    <col min="4" max="5" width="15.5546875" style="54" customWidth="1"/>
    <col min="6" max="6" width="15.5546875" style="49" customWidth="1"/>
    <col min="7" max="7" width="12.6640625" style="49" customWidth="1"/>
    <col min="8" max="8" width="6.5546875" style="49" customWidth="1"/>
    <col min="9" max="9" width="12.33203125" style="49" bestFit="1" customWidth="1"/>
    <col min="10" max="16384" width="8" style="49"/>
  </cols>
  <sheetData>
    <row r="1" spans="1:16" s="114" customFormat="1" ht="17.399999999999999">
      <c r="A1" s="908" t="s">
        <v>258</v>
      </c>
      <c r="B1" s="908"/>
      <c r="C1" s="908"/>
      <c r="D1" s="908"/>
      <c r="E1" s="908"/>
      <c r="F1" s="908"/>
    </row>
    <row r="2" spans="1:16" s="114" customFormat="1" ht="17.399999999999999">
      <c r="A2" s="908" t="s">
        <v>253</v>
      </c>
      <c r="B2" s="908"/>
      <c r="C2" s="908"/>
      <c r="D2" s="908"/>
      <c r="E2" s="908"/>
      <c r="F2" s="908"/>
    </row>
    <row r="3" spans="1:16" s="114" customFormat="1">
      <c r="A3" s="565"/>
      <c r="B3" s="565"/>
      <c r="C3" s="565"/>
      <c r="D3" s="565"/>
      <c r="E3" s="565"/>
      <c r="F3" s="565"/>
    </row>
    <row r="4" spans="1:16">
      <c r="A4" s="508"/>
      <c r="B4" s="509" t="s">
        <v>0</v>
      </c>
      <c r="C4" s="510" t="s">
        <v>1</v>
      </c>
      <c r="D4" s="511" t="s">
        <v>2</v>
      </c>
      <c r="E4" s="511" t="s">
        <v>3</v>
      </c>
      <c r="F4" s="511" t="s">
        <v>4</v>
      </c>
      <c r="H4" s="145" t="s">
        <v>9</v>
      </c>
      <c r="I4" s="145"/>
      <c r="J4" s="145"/>
      <c r="K4" s="54"/>
      <c r="L4" s="137"/>
      <c r="M4" s="137"/>
      <c r="N4" s="137"/>
      <c r="O4" s="137"/>
      <c r="P4" s="137"/>
    </row>
    <row r="5" spans="1:16">
      <c r="A5" s="508"/>
      <c r="B5" s="509"/>
      <c r="C5" s="510"/>
      <c r="D5" s="511"/>
      <c r="E5" s="511"/>
      <c r="F5" s="511"/>
      <c r="H5" s="145"/>
      <c r="I5" s="145"/>
      <c r="J5" s="145"/>
      <c r="K5" s="54"/>
      <c r="L5" s="137"/>
      <c r="M5" s="137"/>
      <c r="N5" s="137"/>
      <c r="O5" s="137"/>
      <c r="P5" s="137"/>
    </row>
    <row r="6" spans="1:16">
      <c r="A6" s="508"/>
      <c r="B6" s="513" t="str">
        <f>+CONCATENATE("FY "&amp;Input!$A$4&amp;"/"&amp;Input!$A$5)</f>
        <v>FY 2022/2023</v>
      </c>
      <c r="C6" s="514" t="s">
        <v>36</v>
      </c>
      <c r="D6" s="514" t="s">
        <v>52</v>
      </c>
      <c r="E6" s="514" t="s">
        <v>42</v>
      </c>
      <c r="F6" s="514" t="s">
        <v>53</v>
      </c>
      <c r="G6" s="55"/>
      <c r="H6" s="146"/>
      <c r="I6" s="146"/>
      <c r="J6" s="147"/>
      <c r="K6" s="148"/>
      <c r="L6" s="148"/>
      <c r="M6" s="148"/>
      <c r="N6" s="148"/>
      <c r="O6" s="148"/>
    </row>
    <row r="7" spans="1:16" ht="18" customHeight="1">
      <c r="A7" s="575">
        <f>MAX($A$6:A6)+1</f>
        <v>1</v>
      </c>
      <c r="B7" s="550" t="s">
        <v>56</v>
      </c>
      <c r="C7" s="530"/>
      <c r="D7" s="517" t="s">
        <v>202</v>
      </c>
      <c r="E7" s="517" t="s">
        <v>58</v>
      </c>
      <c r="F7" s="576"/>
    </row>
    <row r="8" spans="1:16" ht="18" customHeight="1">
      <c r="A8" s="575">
        <f>MAX($A$6:A7)+1</f>
        <v>2</v>
      </c>
      <c r="B8" s="538" t="s">
        <v>557</v>
      </c>
      <c r="C8" s="517" t="str">
        <f>"Table 3, Line "&amp;TEXT('T-3'!A46,"0")&amp;" "&amp;'T-3'!E4</f>
        <v>Table 3, Line 39 (D)</v>
      </c>
      <c r="D8" s="577">
        <f>'T-3'!E46</f>
        <v>84945.488126828859</v>
      </c>
      <c r="E8" s="576"/>
      <c r="F8" s="576"/>
      <c r="G8" s="149"/>
      <c r="H8" s="150"/>
    </row>
    <row r="9" spans="1:16" ht="18" customHeight="1">
      <c r="A9" s="575">
        <f>MAX($A$6:A8)+1</f>
        <v>3</v>
      </c>
      <c r="B9" s="550" t="s">
        <v>57</v>
      </c>
      <c r="C9" s="517"/>
      <c r="D9" s="530"/>
      <c r="E9" s="576"/>
      <c r="F9" s="576"/>
      <c r="G9" s="151"/>
      <c r="H9" s="151"/>
      <c r="I9" s="151"/>
      <c r="J9" s="151"/>
      <c r="K9" s="151"/>
    </row>
    <row r="10" spans="1:16" ht="18" customHeight="1">
      <c r="A10" s="575">
        <f>MAX($A$6:A9)+1</f>
        <v>4</v>
      </c>
      <c r="B10" s="538" t="s">
        <v>255</v>
      </c>
      <c r="C10" s="517" t="str">
        <f>"Table 4, Line "&amp;TEXT('T-4'!A68,"0")&amp;" "&amp;'T-4'!P4</f>
        <v>Table 4, Line 63 (O)</v>
      </c>
      <c r="D10" s="576"/>
      <c r="E10" s="578">
        <f>'T-4'!P68</f>
        <v>6025</v>
      </c>
      <c r="F10" s="576"/>
      <c r="G10" s="151"/>
      <c r="H10" s="151"/>
      <c r="I10" s="151"/>
      <c r="J10" s="151"/>
      <c r="K10" s="151"/>
    </row>
    <row r="11" spans="1:16" ht="18" customHeight="1">
      <c r="A11" s="575">
        <f>MAX($A$6:A10)+1</f>
        <v>5</v>
      </c>
      <c r="B11" s="538" t="s">
        <v>256</v>
      </c>
      <c r="C11" s="517" t="str">
        <f>"Table 5, Line "&amp;TEXT('T-5'!A46,"0")&amp;" "&amp;'T-5'!P3</f>
        <v>Table 5, Line 42 (O)</v>
      </c>
      <c r="D11" s="576"/>
      <c r="E11" s="578">
        <f>'T-5'!P46</f>
        <v>0.77428955453149018</v>
      </c>
      <c r="F11" s="576"/>
      <c r="G11" s="151"/>
      <c r="H11" s="151"/>
      <c r="I11" s="151"/>
      <c r="J11" s="151"/>
      <c r="K11" s="151"/>
    </row>
    <row r="12" spans="1:16" ht="18" customHeight="1">
      <c r="A12" s="575">
        <f>MAX($A$6:A11)+1</f>
        <v>6</v>
      </c>
      <c r="B12" s="538" t="s">
        <v>257</v>
      </c>
      <c r="C12" s="517" t="str">
        <f>"Table 5, Line "&amp;TEXT('T-5'!A47,"0")&amp;" "&amp;'T-5'!P3</f>
        <v>Table 5, Line 43 (O)</v>
      </c>
      <c r="D12" s="576"/>
      <c r="E12" s="578">
        <f>'T-5'!P47</f>
        <v>2.4197388632872499</v>
      </c>
      <c r="F12" s="576"/>
      <c r="G12" s="151"/>
      <c r="H12" s="151"/>
      <c r="I12" s="151"/>
      <c r="J12" s="151"/>
      <c r="K12" s="151"/>
    </row>
    <row r="13" spans="1:16" ht="18" customHeight="1">
      <c r="A13" s="575">
        <f>MAX($A$6:A12)+1</f>
        <v>7</v>
      </c>
      <c r="B13" s="538" t="s">
        <v>45</v>
      </c>
      <c r="C13" s="517" t="str">
        <f>"Table 5, Line "&amp;TEXT('T-5'!A48,"0")&amp;" "&amp;'T-5'!P3</f>
        <v>Table 5, Line 44 (O)</v>
      </c>
      <c r="D13" s="576"/>
      <c r="E13" s="578">
        <f>'T-5'!P48</f>
        <v>45.244127624167938</v>
      </c>
      <c r="F13" s="576"/>
      <c r="G13" s="151"/>
      <c r="H13" s="151"/>
      <c r="I13" s="151"/>
      <c r="J13" s="151"/>
      <c r="K13" s="151"/>
    </row>
    <row r="14" spans="1:16" ht="18" customHeight="1">
      <c r="A14" s="575">
        <f>MAX($A$6:A13)+1</f>
        <v>8</v>
      </c>
      <c r="B14" s="550" t="s">
        <v>244</v>
      </c>
      <c r="C14" s="517"/>
      <c r="D14" s="530"/>
      <c r="E14" s="579"/>
      <c r="F14" s="576"/>
      <c r="G14" s="151"/>
      <c r="H14" s="151"/>
      <c r="I14" s="151"/>
      <c r="J14" s="151"/>
      <c r="K14" s="151"/>
    </row>
    <row r="15" spans="1:16" ht="18" customHeight="1">
      <c r="A15" s="575">
        <f>MAX($A$6:A14)+1</f>
        <v>9</v>
      </c>
      <c r="B15" s="538" t="s">
        <v>255</v>
      </c>
      <c r="C15" s="561" t="str">
        <f>"Line "&amp;TEXT(A10,"0")</f>
        <v>Line 4</v>
      </c>
      <c r="D15" s="576"/>
      <c r="E15" s="578">
        <f>E10</f>
        <v>6025</v>
      </c>
      <c r="F15" s="576"/>
      <c r="G15" s="151"/>
      <c r="H15" s="151"/>
      <c r="I15" s="151"/>
      <c r="J15" s="151"/>
      <c r="K15" s="151"/>
    </row>
    <row r="16" spans="1:16" ht="18" customHeight="1">
      <c r="A16" s="575">
        <f>MAX($A$6:A15)+1</f>
        <v>10</v>
      </c>
      <c r="B16" s="538" t="s">
        <v>242</v>
      </c>
      <c r="C16" s="539" t="str">
        <f>"Line "&amp;TEXT(A11,"0")&amp;" x (7/5)"</f>
        <v>Line 5 x (7/5)</v>
      </c>
      <c r="D16" s="576"/>
      <c r="E16" s="845">
        <f>E11*7/5</f>
        <v>1.0840053763440862</v>
      </c>
      <c r="F16" s="576"/>
      <c r="G16" s="151"/>
      <c r="H16" s="151"/>
      <c r="I16" s="151"/>
      <c r="J16" s="151"/>
      <c r="K16" s="151"/>
    </row>
    <row r="17" spans="1:11" ht="18" customHeight="1">
      <c r="A17" s="575">
        <f>MAX($A$6:A16)+1</f>
        <v>11</v>
      </c>
      <c r="B17" s="538" t="s">
        <v>243</v>
      </c>
      <c r="C17" s="539" t="str">
        <f>"Line "&amp;TEXT(A12,"0")</f>
        <v>Line 6</v>
      </c>
      <c r="D17" s="576"/>
      <c r="E17" s="578">
        <f>E12</f>
        <v>2.4197388632872499</v>
      </c>
      <c r="F17" s="576"/>
      <c r="G17" s="151"/>
      <c r="H17" s="152"/>
      <c r="I17" s="151"/>
      <c r="J17" s="151"/>
      <c r="K17" s="151"/>
    </row>
    <row r="18" spans="1:11" ht="18" customHeight="1">
      <c r="A18" s="575">
        <f>MAX($A$6:A17)+1</f>
        <v>12</v>
      </c>
      <c r="B18" s="538" t="s">
        <v>45</v>
      </c>
      <c r="C18" s="539" t="str">
        <f>"Line "&amp;TEXT(A13,"0")&amp;" x (7/5) x (24/5)"</f>
        <v>Line 7 x (7/5) x (24/5)</v>
      </c>
      <c r="D18" s="576"/>
      <c r="E18" s="580">
        <f>E13*7/5*24/5</f>
        <v>304.04053763440851</v>
      </c>
      <c r="F18" s="576"/>
      <c r="G18" s="151"/>
      <c r="H18" s="151"/>
      <c r="I18" s="151"/>
      <c r="J18" s="151"/>
      <c r="K18" s="151"/>
    </row>
    <row r="19" spans="1:11" ht="18" customHeight="1">
      <c r="A19" s="575">
        <f>MAX($A$6:A18)+1</f>
        <v>13</v>
      </c>
      <c r="B19" s="551" t="s">
        <v>237</v>
      </c>
      <c r="C19" s="508" t="str">
        <f>"Sum of Lines "&amp;TEXT(A15,"0")&amp;" through "&amp;TEXT(A18,"0")</f>
        <v>Sum of Lines 9 through 12</v>
      </c>
      <c r="D19" s="576"/>
      <c r="E19" s="577">
        <f>SUM(E15:E18)</f>
        <v>6332.5442818740403</v>
      </c>
      <c r="F19" s="576"/>
      <c r="G19" s="154"/>
      <c r="H19" s="151"/>
      <c r="I19" s="151"/>
      <c r="J19" s="151"/>
      <c r="K19" s="151"/>
    </row>
    <row r="20" spans="1:11" ht="18" customHeight="1">
      <c r="A20" s="575">
        <f>MAX($A$6:A19)+1</f>
        <v>14</v>
      </c>
      <c r="B20" s="550" t="s">
        <v>252</v>
      </c>
      <c r="C20" s="532"/>
      <c r="D20" s="532"/>
      <c r="E20" s="576"/>
      <c r="F20" s="576"/>
      <c r="G20" s="151"/>
      <c r="H20" s="151"/>
      <c r="I20" s="151"/>
      <c r="J20" s="151"/>
      <c r="K20" s="151"/>
    </row>
    <row r="21" spans="1:11" ht="18" customHeight="1">
      <c r="A21" s="575">
        <f>MAX($A$6:A20)+1</f>
        <v>15</v>
      </c>
      <c r="B21" s="538" t="s">
        <v>247</v>
      </c>
      <c r="C21" s="517" t="str">
        <f>"Line "&amp;TEXT(A8,"0")&amp;" / Line "&amp;TEXT(A19,"0")</f>
        <v>Line 2 / Line 13</v>
      </c>
      <c r="D21" s="576"/>
      <c r="E21" s="576"/>
      <c r="F21" s="572">
        <f>D8/E19</f>
        <v>13.414116719242312</v>
      </c>
      <c r="G21" s="151"/>
      <c r="H21" s="155"/>
      <c r="I21" s="797"/>
      <c r="J21" s="151"/>
      <c r="K21" s="151"/>
    </row>
    <row r="22" spans="1:11" ht="18" customHeight="1">
      <c r="A22" s="575">
        <f>MAX($A$6:A21)+1</f>
        <v>16</v>
      </c>
      <c r="B22" s="538" t="s">
        <v>248</v>
      </c>
      <c r="C22" s="517" t="str">
        <f>"Line "&amp;TEXT(A21,"0")&amp;" / (12)"</f>
        <v>Line 15 / (12)</v>
      </c>
      <c r="D22" s="576"/>
      <c r="E22" s="576"/>
      <c r="F22" s="581">
        <f>ROUND(F21/12,3)</f>
        <v>1.1180000000000001</v>
      </c>
      <c r="G22" s="151"/>
      <c r="H22" s="151"/>
      <c r="I22" s="151"/>
      <c r="J22" s="151"/>
      <c r="K22" s="151"/>
    </row>
    <row r="23" spans="1:11" ht="18" customHeight="1">
      <c r="A23" s="575">
        <f>MAX($A$6:A22)+1</f>
        <v>17</v>
      </c>
      <c r="B23" s="538" t="s">
        <v>249</v>
      </c>
      <c r="C23" s="517" t="str">
        <f>"Line "&amp;TEXT(A21,"0")&amp;" / (365) x (7/5)"</f>
        <v>Line 15 / (365) x (7/5)</v>
      </c>
      <c r="D23" s="576"/>
      <c r="E23" s="576"/>
      <c r="F23" s="581">
        <f>ROUND(F21/365*7/5,3)</f>
        <v>5.0999999999999997E-2</v>
      </c>
      <c r="G23" s="151"/>
      <c r="H23" s="151"/>
      <c r="I23" s="151"/>
      <c r="J23" s="151"/>
      <c r="K23" s="151"/>
    </row>
    <row r="24" spans="1:11" ht="18" customHeight="1">
      <c r="A24" s="575">
        <f>MAX($A$6:A23)+1</f>
        <v>18</v>
      </c>
      <c r="B24" s="538" t="s">
        <v>250</v>
      </c>
      <c r="C24" s="517" t="str">
        <f>"Line "&amp;TEXT(A21,"0")&amp;" / (365)"</f>
        <v>Line 15 / (365)</v>
      </c>
      <c r="D24" s="576"/>
      <c r="E24" s="576"/>
      <c r="F24" s="581">
        <f>ROUND(F21/365,3)</f>
        <v>3.6999999999999998E-2</v>
      </c>
      <c r="G24" s="151"/>
      <c r="H24" s="151"/>
      <c r="I24" s="151"/>
      <c r="J24" s="151"/>
      <c r="K24" s="151"/>
    </row>
    <row r="25" spans="1:11" ht="18" customHeight="1">
      <c r="A25" s="575">
        <f>MAX($A$6:A24)+1</f>
        <v>19</v>
      </c>
      <c r="B25" s="538" t="s">
        <v>251</v>
      </c>
      <c r="C25" s="569" t="str">
        <f>"Line "&amp;TEXT(A21,"0")&amp;" / (8.76) x (7/5) x (24/5)"</f>
        <v>Line 15 / (8.76) x (7/5) x (24/5)</v>
      </c>
      <c r="D25" s="576"/>
      <c r="E25" s="576"/>
      <c r="F25" s="566">
        <f>ROUND(F21/8.76*7/5*24/5,2)</f>
        <v>10.29</v>
      </c>
      <c r="G25" s="151"/>
      <c r="H25" s="151"/>
      <c r="I25" s="151"/>
      <c r="J25" s="151"/>
      <c r="K25" s="151"/>
    </row>
    <row r="26" spans="1:11" ht="18" customHeight="1">
      <c r="A26" s="575">
        <f>MAX($A$6:A25)+1</f>
        <v>20</v>
      </c>
      <c r="B26" s="582"/>
      <c r="C26" s="569"/>
      <c r="D26" s="517" t="s">
        <v>202</v>
      </c>
      <c r="E26" s="517" t="s">
        <v>58</v>
      </c>
      <c r="F26" s="566"/>
      <c r="G26" s="151"/>
      <c r="H26" s="151"/>
      <c r="I26" s="151"/>
      <c r="J26" s="151"/>
      <c r="K26" s="151"/>
    </row>
    <row r="27" spans="1:11" ht="18" customHeight="1">
      <c r="A27" s="575">
        <f>MAX($A$6:A26)+1</f>
        <v>21</v>
      </c>
      <c r="B27" s="550" t="s">
        <v>405</v>
      </c>
      <c r="C27" s="532"/>
      <c r="D27" s="532"/>
      <c r="E27" s="576"/>
      <c r="F27" s="576"/>
      <c r="G27" s="151"/>
      <c r="H27" s="151"/>
      <c r="I27" s="151"/>
      <c r="J27" s="151"/>
      <c r="K27" s="151"/>
    </row>
    <row r="28" spans="1:11" ht="18" customHeight="1">
      <c r="A28" s="575">
        <f>MAX($A$6:A27)+1</f>
        <v>22</v>
      </c>
      <c r="B28" s="538" t="s">
        <v>277</v>
      </c>
      <c r="C28" s="569" t="s">
        <v>278</v>
      </c>
      <c r="D28" s="583">
        <v>12535.612999999999</v>
      </c>
      <c r="E28" s="576"/>
      <c r="F28" s="576"/>
      <c r="G28" s="151"/>
      <c r="H28" s="151"/>
      <c r="I28" s="151"/>
      <c r="J28" s="151"/>
      <c r="K28" s="151"/>
    </row>
    <row r="29" spans="1:11" ht="18" customHeight="1">
      <c r="A29" s="575">
        <f>MAX($A$6:A28)+1</f>
        <v>23</v>
      </c>
      <c r="B29" s="584" t="s">
        <v>175</v>
      </c>
      <c r="C29" s="569" t="str">
        <f>"Table 4, Line "&amp;TEXT('T-4'!A74,"0")&amp;" "&amp;'T-4'!P4</f>
        <v>Table 4, Line 69 (O)</v>
      </c>
      <c r="D29" s="576"/>
      <c r="E29" s="579">
        <f>'T-4'!P74</f>
        <v>42.666666666666664</v>
      </c>
      <c r="F29" s="585"/>
      <c r="G29" s="151"/>
      <c r="H29" s="151"/>
      <c r="I29" s="151"/>
      <c r="J29" s="151"/>
      <c r="K29" s="151"/>
    </row>
    <row r="30" spans="1:11" ht="18" customHeight="1">
      <c r="A30" s="575">
        <f>MAX($A$6:A29)+1</f>
        <v>24</v>
      </c>
      <c r="B30" s="584" t="s">
        <v>276</v>
      </c>
      <c r="C30" s="569" t="s">
        <v>278</v>
      </c>
      <c r="D30" s="576"/>
      <c r="E30" s="586">
        <v>1730</v>
      </c>
      <c r="F30" s="585"/>
      <c r="G30" s="151"/>
      <c r="H30" s="151"/>
      <c r="I30" s="151"/>
      <c r="J30" s="151"/>
      <c r="K30" s="151"/>
    </row>
    <row r="31" spans="1:11" ht="18" customHeight="1">
      <c r="A31" s="575">
        <f>MAX($A$6:A30)+1</f>
        <v>25</v>
      </c>
      <c r="B31" s="584" t="s">
        <v>279</v>
      </c>
      <c r="C31" s="517" t="str">
        <f>"Line "&amp;TEXT(A29,"0")&amp;" + Line "&amp;TEXT(A30,"0")</f>
        <v>Line 23 + Line 24</v>
      </c>
      <c r="D31" s="576"/>
      <c r="E31" s="587">
        <f>SUM(E29:E30)</f>
        <v>1772.6666666666667</v>
      </c>
      <c r="F31" s="585"/>
      <c r="G31" s="151"/>
      <c r="H31" s="151"/>
      <c r="I31" s="151"/>
      <c r="J31" s="151"/>
      <c r="K31" s="151"/>
    </row>
    <row r="32" spans="1:11" ht="18" customHeight="1">
      <c r="A32" s="575">
        <f>MAX($A$6:A31)+1</f>
        <v>26</v>
      </c>
      <c r="B32" s="582"/>
      <c r="C32" s="517"/>
      <c r="D32" s="576"/>
      <c r="E32" s="583"/>
      <c r="F32" s="585"/>
      <c r="G32" s="151"/>
      <c r="H32" s="151"/>
    </row>
    <row r="33" spans="1:10" ht="18" customHeight="1">
      <c r="A33" s="575">
        <f>MAX($A$6:A32)+1</f>
        <v>27</v>
      </c>
      <c r="B33" s="538" t="s">
        <v>280</v>
      </c>
      <c r="C33" s="517" t="str">
        <f>"Line "&amp;TEXT(A28,"0")&amp;" x (Line "&amp;TEXT(A29,"0")&amp;" / Line "&amp;TEXT(A31,"0")&amp;")"</f>
        <v>Line 22 x (Line 23 / Line 25)</v>
      </c>
      <c r="D33" s="858">
        <f>D28*E29/E31</f>
        <v>301.72216321925532</v>
      </c>
      <c r="E33" s="576"/>
      <c r="F33" s="576"/>
      <c r="G33" s="151"/>
      <c r="H33" s="151"/>
    </row>
    <row r="34" spans="1:10" ht="18" customHeight="1">
      <c r="A34" s="575">
        <f>MAX($A$6:A33)+1</f>
        <v>28</v>
      </c>
      <c r="B34" s="538" t="s">
        <v>247</v>
      </c>
      <c r="C34" s="517" t="str">
        <f>"Line "&amp;TEXT(A33,"0")&amp;" / Line "&amp;TEXT(A29,"0")</f>
        <v>Line 27 / Line 23</v>
      </c>
      <c r="D34" s="576"/>
      <c r="E34" s="576"/>
      <c r="F34" s="572">
        <f>D33/E29</f>
        <v>7.0716132004512966</v>
      </c>
      <c r="G34" s="151"/>
      <c r="H34" s="151"/>
    </row>
    <row r="35" spans="1:10" ht="18" customHeight="1">
      <c r="A35" s="575">
        <f>MAX($A$6:A34)+1</f>
        <v>29</v>
      </c>
      <c r="B35" s="538" t="s">
        <v>248</v>
      </c>
      <c r="C35" s="517" t="str">
        <f>"Line "&amp;TEXT(A34,"0")&amp;" / (12)"</f>
        <v>Line 28 / (12)</v>
      </c>
      <c r="D35" s="576"/>
      <c r="E35" s="576"/>
      <c r="F35" s="588">
        <f>ROUND(F34/12,3)</f>
        <v>0.58899999999999997</v>
      </c>
      <c r="G35" s="151"/>
      <c r="H35" s="151"/>
    </row>
    <row r="36" spans="1:10" ht="18" customHeight="1">
      <c r="A36" s="575">
        <f>MAX($A$6:A35)+1</f>
        <v>30</v>
      </c>
      <c r="B36" s="538"/>
      <c r="C36" s="517"/>
      <c r="D36" s="576"/>
      <c r="E36" s="576"/>
      <c r="F36" s="588"/>
      <c r="G36" s="151"/>
      <c r="H36" s="151"/>
    </row>
    <row r="37" spans="1:10" ht="18" customHeight="1">
      <c r="A37" s="575">
        <f>MAX($A$6:A36)+1</f>
        <v>31</v>
      </c>
      <c r="B37" s="550" t="s">
        <v>254</v>
      </c>
      <c r="C37" s="532"/>
      <c r="D37" s="532"/>
      <c r="E37" s="576"/>
      <c r="F37" s="576"/>
      <c r="G37" s="151"/>
      <c r="H37" s="151"/>
    </row>
    <row r="38" spans="1:10" ht="18" customHeight="1">
      <c r="A38" s="575">
        <f>MAX($A$6:A37)+1</f>
        <v>32</v>
      </c>
      <c r="B38" s="538" t="s">
        <v>408</v>
      </c>
      <c r="C38" s="569" t="str">
        <f>"Table 1, Line "&amp;TEXT('T-1'!A33,"0")&amp;" "&amp;'T-1'!G4</f>
        <v>Table 1, Line 27 (F)</v>
      </c>
      <c r="D38" s="577">
        <f>'T-1'!G33</f>
        <v>12040.981513765153</v>
      </c>
      <c r="E38" s="576"/>
      <c r="F38" s="576"/>
      <c r="G38" s="151"/>
      <c r="H38" s="151"/>
      <c r="I38" s="151"/>
      <c r="J38" s="151"/>
    </row>
    <row r="39" spans="1:10" ht="18" customHeight="1">
      <c r="A39" s="575">
        <f>MAX($A$6:A38)+1</f>
        <v>33</v>
      </c>
      <c r="B39" s="538" t="s">
        <v>406</v>
      </c>
      <c r="C39" s="569" t="str">
        <f>CONCATENATE("Table 2, average Lines ",'T-2'!A81,"(G)"," and ",'T-2'!A109,"(G)")</f>
        <v>Table 2, average Lines 73(G) and 96(G)</v>
      </c>
      <c r="D39" s="589">
        <f>-AVERAGE('T-2'!H81,'T-2'!H109)</f>
        <v>-896.48866108256368</v>
      </c>
      <c r="E39" s="576"/>
      <c r="F39" s="576"/>
      <c r="G39" s="151"/>
      <c r="H39" s="151"/>
      <c r="I39" s="151"/>
      <c r="J39" s="151"/>
    </row>
    <row r="40" spans="1:10" ht="18" customHeight="1">
      <c r="A40" s="575">
        <f>MAX($A$6:A39)+1</f>
        <v>34</v>
      </c>
      <c r="B40" s="538" t="s">
        <v>409</v>
      </c>
      <c r="C40" s="569" t="str">
        <f>"Line "&amp;TEXT(A38,"0")&amp;" + Line "&amp;TEXT(A39,"0")</f>
        <v>Line 32 + Line 33</v>
      </c>
      <c r="D40" s="577">
        <f>SUM(D38:D39)</f>
        <v>11144.49285268259</v>
      </c>
      <c r="E40" s="576"/>
      <c r="F40" s="576"/>
      <c r="G40" s="151"/>
      <c r="H40" s="151"/>
      <c r="I40" s="151"/>
      <c r="J40" s="151"/>
    </row>
    <row r="41" spans="1:10" ht="18" customHeight="1">
      <c r="A41" s="575">
        <f>MAX($A$6:A40)+1</f>
        <v>35</v>
      </c>
      <c r="B41" s="584" t="s">
        <v>175</v>
      </c>
      <c r="C41" s="569" t="str">
        <f>"Table 4, Line "&amp;TEXT('T-4'!A74,"0")&amp;" "&amp;'T-4'!P4</f>
        <v>Table 4, Line 69 (O)</v>
      </c>
      <c r="D41" s="576"/>
      <c r="E41" s="579">
        <f>'T-4'!P74</f>
        <v>42.666666666666664</v>
      </c>
      <c r="F41" s="585"/>
      <c r="G41" s="151"/>
      <c r="H41" s="151"/>
      <c r="I41" s="151"/>
      <c r="J41" s="151"/>
    </row>
    <row r="42" spans="1:10" ht="18" customHeight="1">
      <c r="A42" s="575">
        <f>MAX($A$6:A41)+1</f>
        <v>36</v>
      </c>
      <c r="B42" s="584" t="s">
        <v>276</v>
      </c>
      <c r="C42" s="569" t="s">
        <v>278</v>
      </c>
      <c r="D42" s="576"/>
      <c r="E42" s="586">
        <v>1730</v>
      </c>
      <c r="F42" s="585"/>
      <c r="G42" s="151"/>
      <c r="H42" s="151"/>
      <c r="I42" s="151"/>
      <c r="J42" s="151"/>
    </row>
    <row r="43" spans="1:10" ht="18" customHeight="1">
      <c r="A43" s="575">
        <f>MAX($A$6:A42)+1</f>
        <v>37</v>
      </c>
      <c r="B43" s="582" t="s">
        <v>279</v>
      </c>
      <c r="C43" s="517" t="str">
        <f>"Line "&amp;TEXT(A41,"0")&amp;" + Line "&amp;TEXT(A42,"0")</f>
        <v>Line 35 + Line 36</v>
      </c>
      <c r="D43" s="576"/>
      <c r="E43" s="587">
        <f>SUM(E41:E42)</f>
        <v>1772.6666666666667</v>
      </c>
      <c r="F43" s="585"/>
      <c r="G43" s="151"/>
      <c r="H43" s="151"/>
      <c r="I43" s="151"/>
      <c r="J43" s="151"/>
    </row>
    <row r="44" spans="1:10" ht="18" customHeight="1">
      <c r="A44" s="575">
        <f>MAX($A$6:A43)+1</f>
        <v>38</v>
      </c>
      <c r="B44" s="538" t="s">
        <v>247</v>
      </c>
      <c r="C44" s="517" t="str">
        <f>"Line "&amp;TEXT(A40,"0")&amp;" / Line "&amp;TEXT(A43,"0")</f>
        <v>Line 34 / Line 37</v>
      </c>
      <c r="D44" s="576"/>
      <c r="E44" s="576"/>
      <c r="F44" s="572">
        <f>D40/E43</f>
        <v>6.2868519289296287</v>
      </c>
      <c r="G44" s="151"/>
      <c r="H44" s="151"/>
      <c r="I44" s="151"/>
      <c r="J44" s="151"/>
    </row>
    <row r="45" spans="1:10" ht="18" customHeight="1">
      <c r="A45" s="575">
        <f>MAX($A$6:A44)+1</f>
        <v>39</v>
      </c>
      <c r="B45" s="538" t="s">
        <v>248</v>
      </c>
      <c r="C45" s="517" t="str">
        <f>"Line "&amp;TEXT(A44,"0")&amp;" / (12)"</f>
        <v>Line 38 / (12)</v>
      </c>
      <c r="D45" s="576"/>
      <c r="E45" s="576"/>
      <c r="F45" s="588">
        <f>ROUND(F44/12,3)</f>
        <v>0.52400000000000002</v>
      </c>
      <c r="G45" s="151"/>
      <c r="H45" s="151"/>
      <c r="I45" s="151"/>
      <c r="J45" s="151"/>
    </row>
    <row r="46" spans="1:10" ht="18" customHeight="1">
      <c r="A46" s="575">
        <f>MAX($A$6:A45)+1</f>
        <v>40</v>
      </c>
      <c r="B46" s="538" t="s">
        <v>249</v>
      </c>
      <c r="C46" s="517" t="str">
        <f>"Line "&amp;TEXT(A44,"0")&amp;" / (365) x (7/5)"</f>
        <v>Line 38 / (365) x (7/5)</v>
      </c>
      <c r="D46" s="576"/>
      <c r="E46" s="576"/>
      <c r="F46" s="588">
        <f>ROUND(F44/365*7/5,3)</f>
        <v>2.4E-2</v>
      </c>
      <c r="G46" s="151"/>
      <c r="H46" s="151"/>
      <c r="I46" s="151"/>
      <c r="J46" s="151"/>
    </row>
    <row r="47" spans="1:10" ht="18" customHeight="1">
      <c r="A47" s="575">
        <f>MAX($A$6:A46)+1</f>
        <v>41</v>
      </c>
      <c r="B47" s="538" t="s">
        <v>250</v>
      </c>
      <c r="C47" s="517" t="str">
        <f>"Line "&amp;TEXT(A44,"0")&amp;" / (365)"</f>
        <v>Line 38 / (365)</v>
      </c>
      <c r="D47" s="576"/>
      <c r="E47" s="576"/>
      <c r="F47" s="588">
        <f>ROUND(F44/365,3)</f>
        <v>1.7000000000000001E-2</v>
      </c>
      <c r="G47" s="151"/>
      <c r="H47" s="151"/>
      <c r="I47" s="151"/>
      <c r="J47" s="151"/>
    </row>
    <row r="48" spans="1:10" ht="18" customHeight="1">
      <c r="A48" s="575">
        <f>MAX($A$6:A47)+1</f>
        <v>42</v>
      </c>
      <c r="B48" s="538" t="s">
        <v>251</v>
      </c>
      <c r="C48" s="569" t="str">
        <f>"Line "&amp;TEXT(A44,"0")&amp;" / (8.76) x (7/5) x (24/16)"</f>
        <v>Line 38 / (8.76) x (7/5) x (24/16)</v>
      </c>
      <c r="D48" s="576"/>
      <c r="E48" s="576"/>
      <c r="F48" s="585">
        <f>ROUND(F44/8.76*7/5*24/16,2)</f>
        <v>1.51</v>
      </c>
      <c r="G48" s="151"/>
      <c r="H48" s="151"/>
      <c r="I48" s="151"/>
      <c r="J48" s="151"/>
    </row>
    <row r="49" spans="1:10" ht="18" customHeight="1">
      <c r="A49" s="575">
        <f>MAX($A$6:A48)+1</f>
        <v>43</v>
      </c>
      <c r="B49" s="582" t="s">
        <v>176</v>
      </c>
      <c r="C49" s="517" t="str">
        <f>"Line "&amp;TEXT(A41,"0")&amp;" x Line "&amp;TEXT(A44,"0")</f>
        <v>Line 35 x Line 38</v>
      </c>
      <c r="D49" s="576"/>
      <c r="E49" s="586">
        <f>E41*F44</f>
        <v>268.23901563433083</v>
      </c>
      <c r="F49" s="585"/>
      <c r="G49" s="151"/>
      <c r="H49" s="151"/>
      <c r="I49" s="151"/>
      <c r="J49" s="151"/>
    </row>
    <row r="50" spans="1:10" ht="18" customHeight="1">
      <c r="A50" s="575">
        <f>MAX($A$6:A49)+1</f>
        <v>44</v>
      </c>
      <c r="B50" s="582"/>
      <c r="C50" s="517"/>
      <c r="D50" s="576"/>
      <c r="E50" s="586"/>
      <c r="F50" s="585"/>
      <c r="G50" s="151"/>
      <c r="H50" s="151"/>
      <c r="I50" s="151"/>
      <c r="J50" s="151"/>
    </row>
    <row r="51" spans="1:10" ht="18" customHeight="1">
      <c r="A51" s="575">
        <f>MAX($A$6:A50)+1</f>
        <v>45</v>
      </c>
      <c r="B51" s="550" t="s">
        <v>201</v>
      </c>
      <c r="C51" s="532"/>
      <c r="D51" s="532"/>
      <c r="E51" s="576"/>
      <c r="F51" s="576"/>
      <c r="G51" s="151"/>
      <c r="H51" s="151"/>
      <c r="I51" s="151"/>
      <c r="J51" s="151"/>
    </row>
    <row r="52" spans="1:10" ht="18" customHeight="1">
      <c r="A52" s="575">
        <f>MAX($A$6:A51)+1</f>
        <v>46</v>
      </c>
      <c r="B52" s="538" t="s">
        <v>408</v>
      </c>
      <c r="C52" s="517" t="str">
        <f>"Table 1, Line "&amp;TEXT('T-1'!A33,"0")&amp;" "&amp;'T-1'!G4</f>
        <v>Table 1, Line 27 (F)</v>
      </c>
      <c r="D52" s="578">
        <f>'T-1'!G33</f>
        <v>12040.981513765153</v>
      </c>
      <c r="E52" s="576"/>
      <c r="F52" s="576"/>
      <c r="G52" s="151"/>
      <c r="H52" s="151"/>
      <c r="I52" s="151"/>
      <c r="J52" s="151"/>
    </row>
    <row r="53" spans="1:10" ht="18" customHeight="1">
      <c r="A53" s="575">
        <f>MAX($A$6:A52)+1</f>
        <v>47</v>
      </c>
      <c r="B53" s="538" t="s">
        <v>406</v>
      </c>
      <c r="C53" s="517" t="str">
        <f>CONCATENATE("Table 2, average Lines ",'T-2'!A81,"(G)"," and ",'T-2'!A109,"(G)")</f>
        <v>Table 2, average Lines 73(G) and 96(G)</v>
      </c>
      <c r="D53" s="590">
        <f>-AVERAGE('T-2'!H81,'T-2'!H109)</f>
        <v>-896.48866108256368</v>
      </c>
      <c r="E53" s="576"/>
      <c r="F53" s="576"/>
      <c r="G53" s="151"/>
      <c r="H53" s="151"/>
      <c r="I53" s="151"/>
      <c r="J53" s="151"/>
    </row>
    <row r="54" spans="1:10" ht="18" customHeight="1">
      <c r="A54" s="575">
        <f>MAX($A$6:A53)+1</f>
        <v>48</v>
      </c>
      <c r="B54" s="538" t="s">
        <v>409</v>
      </c>
      <c r="C54" s="569" t="str">
        <f>"Line "&amp;TEXT(A52,"0")&amp;" + Line "&amp;TEXT(A53,"0")</f>
        <v>Line 46 + Line 47</v>
      </c>
      <c r="D54" s="578">
        <f>SUM(D52:D53)</f>
        <v>11144.49285268259</v>
      </c>
      <c r="E54" s="576"/>
      <c r="F54" s="576"/>
      <c r="G54" s="151"/>
      <c r="H54" s="151"/>
      <c r="I54" s="151"/>
      <c r="J54" s="151"/>
    </row>
    <row r="55" spans="1:10" ht="18" customHeight="1">
      <c r="A55" s="575">
        <f>MAX($A$6:A54)+1</f>
        <v>49</v>
      </c>
      <c r="B55" s="584" t="s">
        <v>560</v>
      </c>
      <c r="C55" s="569" t="s">
        <v>278</v>
      </c>
      <c r="D55" s="576"/>
      <c r="E55" s="586">
        <v>1930</v>
      </c>
      <c r="F55" s="576"/>
      <c r="G55" s="151"/>
      <c r="H55" s="151"/>
    </row>
    <row r="56" spans="1:10" ht="18" customHeight="1">
      <c r="A56" s="575">
        <f>MAX($A$6:A55)+1</f>
        <v>50</v>
      </c>
      <c r="B56" s="582" t="s">
        <v>279</v>
      </c>
      <c r="C56" s="517" t="str">
        <f>"Line "&amp;TEXT(A55,"0")</f>
        <v>Line 49</v>
      </c>
      <c r="D56" s="576"/>
      <c r="E56" s="587">
        <f>SUM(E55:E55)</f>
        <v>1930</v>
      </c>
      <c r="F56" s="576"/>
      <c r="G56" s="151"/>
      <c r="H56" s="151"/>
    </row>
    <row r="57" spans="1:10" ht="18" customHeight="1">
      <c r="A57" s="575">
        <f>MAX($A$6:A56)+1</f>
        <v>51</v>
      </c>
      <c r="B57" s="551" t="s">
        <v>273</v>
      </c>
      <c r="C57" s="517" t="str">
        <f>"Line "&amp;TEXT(A54,"0")&amp;" / Line "&amp;TEXT(A56,"0")&amp;" / (8.76) x (7/5) x (24/16)"</f>
        <v>Line 48 / Line 50 / (8.76) x (7/5) x (24/16)</v>
      </c>
      <c r="D57" s="576"/>
      <c r="E57" s="576"/>
      <c r="F57" s="591">
        <f>ROUND(D54/E56/8.76*7/5*24/16,2)</f>
        <v>1.38</v>
      </c>
      <c r="G57" s="151"/>
      <c r="H57" s="151"/>
    </row>
    <row r="58" spans="1:10" s="115" customFormat="1">
      <c r="A58" s="156"/>
      <c r="B58" s="157"/>
      <c r="G58" s="158"/>
      <c r="H58" s="158"/>
    </row>
    <row r="59" spans="1:10" s="115" customFormat="1">
      <c r="A59" s="159"/>
      <c r="B59" s="52"/>
      <c r="G59" s="158"/>
      <c r="H59" s="158"/>
    </row>
    <row r="60" spans="1:10" s="115" customFormat="1">
      <c r="A60" s="156"/>
      <c r="B60" s="52"/>
    </row>
    <row r="61" spans="1:10" s="115" customFormat="1">
      <c r="A61" s="156"/>
      <c r="B61" s="52"/>
    </row>
    <row r="62" spans="1:10">
      <c r="B62" s="160"/>
      <c r="C62" s="160"/>
      <c r="D62" s="160"/>
      <c r="E62" s="161"/>
    </row>
    <row r="63" spans="1:10">
      <c r="B63" s="160"/>
      <c r="C63" s="160"/>
      <c r="D63" s="160"/>
      <c r="E63" s="161"/>
    </row>
    <row r="64" spans="1:10">
      <c r="B64" s="160"/>
      <c r="C64" s="160"/>
      <c r="D64" s="160"/>
      <c r="E64" s="161"/>
    </row>
    <row r="65" spans="2:5">
      <c r="B65" s="160"/>
      <c r="C65" s="160"/>
      <c r="D65" s="160"/>
      <c r="E65" s="161"/>
    </row>
    <row r="66" spans="2:5">
      <c r="B66" s="160"/>
      <c r="C66" s="160"/>
      <c r="D66" s="161"/>
      <c r="E66" s="160"/>
    </row>
    <row r="67" spans="2:5">
      <c r="B67" s="160"/>
      <c r="C67" s="160"/>
      <c r="D67" s="161"/>
      <c r="E67" s="160"/>
    </row>
    <row r="68" spans="2:5">
      <c r="B68" s="162"/>
      <c r="C68" s="162"/>
      <c r="D68" s="162"/>
      <c r="E68" s="162"/>
    </row>
    <row r="69" spans="2:5">
      <c r="B69" s="160"/>
      <c r="C69" s="160"/>
      <c r="D69" s="162"/>
      <c r="E69" s="162"/>
    </row>
    <row r="70" spans="2:5">
      <c r="B70" s="160"/>
      <c r="C70" s="160"/>
      <c r="D70" s="162"/>
      <c r="E70" s="162"/>
    </row>
    <row r="71" spans="2:5">
      <c r="B71" s="160"/>
      <c r="C71" s="160"/>
      <c r="D71" s="162"/>
      <c r="E71" s="162"/>
    </row>
    <row r="72" spans="2:5">
      <c r="B72" s="160"/>
      <c r="C72" s="160"/>
      <c r="D72" s="162"/>
      <c r="E72" s="162"/>
    </row>
    <row r="73" spans="2:5">
      <c r="C73" s="53"/>
      <c r="D73" s="53"/>
      <c r="E73" s="53"/>
    </row>
    <row r="74" spans="2:5">
      <c r="C74" s="53"/>
      <c r="D74" s="53"/>
      <c r="E74" s="53"/>
    </row>
    <row r="75" spans="2:5">
      <c r="C75" s="53"/>
      <c r="D75" s="53"/>
      <c r="E75" s="53"/>
    </row>
    <row r="76" spans="2:5">
      <c r="C76" s="53"/>
      <c r="D76" s="53"/>
      <c r="E76" s="53"/>
    </row>
    <row r="77" spans="2:5">
      <c r="C77" s="53"/>
      <c r="D77" s="53"/>
      <c r="E77" s="53"/>
    </row>
    <row r="78" spans="2:5">
      <c r="C78" s="53"/>
      <c r="D78" s="53"/>
      <c r="E78" s="53"/>
    </row>
    <row r="79" spans="2:5">
      <c r="C79" s="53"/>
      <c r="D79" s="53"/>
      <c r="E79" s="53"/>
    </row>
    <row r="80" spans="2:5">
      <c r="C80" s="53"/>
      <c r="D80" s="53"/>
      <c r="E80" s="53"/>
    </row>
    <row r="81" spans="3:5">
      <c r="C81" s="53"/>
      <c r="D81" s="53"/>
      <c r="E81" s="53"/>
    </row>
    <row r="82" spans="3:5">
      <c r="C82" s="53"/>
      <c r="D82" s="53"/>
      <c r="E82" s="53"/>
    </row>
    <row r="83" spans="3:5">
      <c r="C83" s="53"/>
      <c r="D83" s="53"/>
      <c r="E83" s="53"/>
    </row>
    <row r="84" spans="3:5">
      <c r="C84" s="53"/>
      <c r="D84" s="53"/>
      <c r="E84" s="53"/>
    </row>
    <row r="85" spans="3:5">
      <c r="C85" s="53"/>
      <c r="D85" s="53"/>
      <c r="E85" s="53"/>
    </row>
    <row r="86" spans="3:5">
      <c r="C86" s="53"/>
      <c r="D86" s="53"/>
      <c r="E86" s="53"/>
    </row>
    <row r="87" spans="3:5">
      <c r="C87" s="53"/>
      <c r="D87" s="53"/>
      <c r="E87" s="53"/>
    </row>
    <row r="88" spans="3:5">
      <c r="C88" s="53"/>
      <c r="D88" s="53"/>
      <c r="E88" s="53"/>
    </row>
    <row r="89" spans="3:5">
      <c r="C89" s="53"/>
      <c r="D89" s="53"/>
      <c r="E89" s="53"/>
    </row>
  </sheetData>
  <mergeCells count="2">
    <mergeCell ref="A1:F1"/>
    <mergeCell ref="A2:F2"/>
  </mergeCells>
  <phoneticPr fontId="22" type="noConversion"/>
  <printOptions horizontalCentered="1"/>
  <pageMargins left="0.5" right="0.5" top="1" bottom="1" header="0.5" footer="0.5"/>
  <pageSetup scale="55" fitToHeight="0" orientation="landscape" blackAndWhite="1" horizontalDpi="300" verticalDpi="300" r:id="rId1"/>
  <headerFooter alignWithMargins="0"/>
  <rowBreaks count="1" manualBreakCount="1">
    <brk id="25" max="5" man="1"/>
  </rowBreaks>
  <ignoredErrors>
    <ignoredError sqref="C16 E1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tabColor rgb="FF0070C0"/>
    <pageSetUpPr fitToPage="1"/>
  </sheetPr>
  <dimension ref="A1:Q83"/>
  <sheetViews>
    <sheetView zoomScale="80" zoomScaleNormal="80" workbookViewId="0">
      <selection sqref="A1:G1"/>
    </sheetView>
  </sheetViews>
  <sheetFormatPr defaultColWidth="8" defaultRowHeight="15.6"/>
  <cols>
    <col min="1" max="1" width="5.33203125" style="139" customWidth="1"/>
    <col min="2" max="2" width="65.33203125" style="167" customWidth="1"/>
    <col min="3" max="3" width="22.6640625" style="54" customWidth="1"/>
    <col min="4" max="4" width="22.6640625" style="51" customWidth="1"/>
    <col min="5" max="7" width="22.6640625" style="54" customWidth="1"/>
    <col min="8" max="8" width="7.6640625" style="49" customWidth="1"/>
    <col min="9" max="9" width="9.6640625" style="49" customWidth="1"/>
    <col min="10" max="10" width="16.44140625" style="49" customWidth="1"/>
    <col min="11" max="16384" width="8" style="49"/>
  </cols>
  <sheetData>
    <row r="1" spans="1:17" s="114" customFormat="1" ht="17.399999999999999">
      <c r="A1" s="908" t="s">
        <v>260</v>
      </c>
      <c r="B1" s="908"/>
      <c r="C1" s="908"/>
      <c r="D1" s="908"/>
      <c r="E1" s="908"/>
      <c r="F1" s="908"/>
      <c r="G1" s="908"/>
    </row>
    <row r="2" spans="1:17" s="114" customFormat="1" ht="17.399999999999999">
      <c r="A2" s="908" t="s">
        <v>261</v>
      </c>
      <c r="B2" s="908"/>
      <c r="C2" s="908"/>
      <c r="D2" s="908"/>
      <c r="E2" s="908"/>
      <c r="F2" s="908"/>
      <c r="G2" s="908"/>
    </row>
    <row r="3" spans="1:17" s="114" customFormat="1">
      <c r="A3" s="565"/>
      <c r="B3" s="565"/>
      <c r="C3" s="565"/>
      <c r="D3" s="565"/>
      <c r="E3" s="565"/>
      <c r="F3" s="565"/>
      <c r="G3" s="565"/>
    </row>
    <row r="4" spans="1:17">
      <c r="A4" s="566"/>
      <c r="B4" s="509" t="s">
        <v>0</v>
      </c>
      <c r="C4" s="510" t="s">
        <v>1</v>
      </c>
      <c r="D4" s="511" t="s">
        <v>2</v>
      </c>
      <c r="E4" s="509" t="s">
        <v>3</v>
      </c>
      <c r="F4" s="510" t="s">
        <v>4</v>
      </c>
      <c r="G4" s="511" t="s">
        <v>5</v>
      </c>
      <c r="H4" s="137"/>
      <c r="I4" s="137"/>
      <c r="J4" s="137"/>
      <c r="K4" s="137"/>
      <c r="L4" s="137"/>
    </row>
    <row r="5" spans="1:17">
      <c r="A5" s="566"/>
      <c r="B5" s="509"/>
      <c r="C5" s="510"/>
      <c r="D5" s="511"/>
      <c r="E5" s="509"/>
      <c r="F5" s="510"/>
      <c r="G5" s="511"/>
      <c r="H5" s="137"/>
      <c r="I5" s="137"/>
      <c r="J5" s="137"/>
      <c r="K5" s="137"/>
      <c r="L5" s="137"/>
    </row>
    <row r="6" spans="1:17" ht="13.95" customHeight="1">
      <c r="A6" s="566"/>
      <c r="B6" s="513" t="str">
        <f>+CONCATENATE("FY "&amp;Input!$A$4&amp;"/"&amp;Input!$A$5)</f>
        <v>FY 2022/2023</v>
      </c>
      <c r="C6" s="514" t="s">
        <v>51</v>
      </c>
      <c r="D6" s="514" t="s">
        <v>36</v>
      </c>
      <c r="E6" s="514" t="s">
        <v>52</v>
      </c>
      <c r="F6" s="514" t="s">
        <v>42</v>
      </c>
      <c r="G6" s="514" t="s">
        <v>53</v>
      </c>
      <c r="H6" s="148"/>
      <c r="I6" s="148"/>
      <c r="J6" s="148"/>
      <c r="K6" s="148"/>
      <c r="L6" s="148"/>
    </row>
    <row r="7" spans="1:17" ht="21" customHeight="1">
      <c r="A7" s="566"/>
      <c r="B7" s="550" t="s">
        <v>330</v>
      </c>
      <c r="C7" s="567"/>
      <c r="D7" s="567"/>
      <c r="E7" s="567"/>
      <c r="F7" s="567"/>
      <c r="G7" s="567"/>
      <c r="H7" s="148"/>
      <c r="I7" s="148"/>
      <c r="J7" s="787"/>
      <c r="K7" s="787"/>
      <c r="L7" s="787"/>
      <c r="M7" s="151"/>
      <c r="N7" s="151"/>
      <c r="O7" s="151"/>
      <c r="P7" s="151"/>
      <c r="Q7" s="151"/>
    </row>
    <row r="8" spans="1:17" ht="19.5" customHeight="1">
      <c r="A8" s="294">
        <v>1</v>
      </c>
      <c r="B8" s="538" t="s">
        <v>259</v>
      </c>
      <c r="C8" s="517" t="s">
        <v>202</v>
      </c>
      <c r="D8" s="517" t="str">
        <f>"Table 3, Line "&amp;TEXT('T-3'!A46,"0")&amp;" "&amp;'T-3'!G4</f>
        <v>Table 3, Line 39 (F)</v>
      </c>
      <c r="E8" s="568">
        <f>'T-3'!G46</f>
        <v>3030.4987600574868</v>
      </c>
      <c r="F8" s="532"/>
      <c r="G8" s="532"/>
      <c r="J8" s="798"/>
      <c r="K8" s="151"/>
      <c r="L8" s="151"/>
      <c r="M8" s="151"/>
      <c r="N8" s="151"/>
      <c r="O8" s="151"/>
      <c r="P8" s="151"/>
      <c r="Q8" s="151"/>
    </row>
    <row r="9" spans="1:17" ht="19.5" customHeight="1">
      <c r="A9" s="294">
        <f>A8+1</f>
        <v>2</v>
      </c>
      <c r="B9" s="538" t="str">
        <f>+CONCATENATE("FY "&amp;Input!$A$4&amp;" Billing Factor")</f>
        <v>FY 2022 Billing Factor</v>
      </c>
      <c r="C9" s="569" t="s">
        <v>195</v>
      </c>
      <c r="D9" s="569" t="s">
        <v>284</v>
      </c>
      <c r="E9" s="529"/>
      <c r="F9" s="530">
        <v>152.17847809667677</v>
      </c>
      <c r="G9" s="532"/>
      <c r="H9" s="235"/>
      <c r="I9" s="236"/>
      <c r="J9" s="151"/>
      <c r="K9" s="151"/>
      <c r="L9" s="151"/>
      <c r="M9" s="151"/>
      <c r="N9" s="151"/>
      <c r="O9" s="151"/>
      <c r="P9" s="151"/>
      <c r="Q9" s="151"/>
    </row>
    <row r="10" spans="1:17" ht="19.5" customHeight="1">
      <c r="A10" s="294">
        <f>A9+1</f>
        <v>3</v>
      </c>
      <c r="B10" s="538" t="str">
        <f>+CONCATENATE("FY "&amp;Input!$A$5&amp;" Billing Factor")</f>
        <v>FY 2023 Billing Factor</v>
      </c>
      <c r="C10" s="569" t="s">
        <v>195</v>
      </c>
      <c r="D10" s="569" t="s">
        <v>284</v>
      </c>
      <c r="E10" s="529"/>
      <c r="F10" s="530">
        <v>152.9484862789528</v>
      </c>
      <c r="G10" s="532"/>
      <c r="H10" s="235"/>
      <c r="I10" s="236"/>
      <c r="J10" s="151"/>
      <c r="K10" s="151"/>
      <c r="L10" s="151"/>
      <c r="M10" s="151"/>
      <c r="N10" s="151"/>
      <c r="O10" s="151"/>
      <c r="P10" s="151"/>
      <c r="Q10" s="151"/>
    </row>
    <row r="11" spans="1:17" ht="19.5" customHeight="1">
      <c r="A11" s="294">
        <f>A10+1</f>
        <v>4</v>
      </c>
      <c r="B11" s="538" t="s">
        <v>182</v>
      </c>
      <c r="C11" s="569" t="s">
        <v>195</v>
      </c>
      <c r="D11" s="569" t="str">
        <f>"(Line "&amp;TEXT(A9,"0")&amp;" + Line "&amp;TEXT(A10,"0")&amp;") / 2"</f>
        <v>(Line 2 + Line 3) / 2</v>
      </c>
      <c r="E11" s="529"/>
      <c r="F11" s="570">
        <f>AVERAGE(F9:F10)</f>
        <v>152.56348218781477</v>
      </c>
      <c r="G11" s="532"/>
      <c r="H11" s="151"/>
      <c r="I11" s="151"/>
      <c r="J11" s="151"/>
      <c r="K11" s="151"/>
      <c r="L11" s="151"/>
      <c r="M11" s="151"/>
      <c r="N11" s="151"/>
      <c r="O11" s="151"/>
      <c r="P11" s="151"/>
      <c r="Q11" s="151"/>
    </row>
    <row r="12" spans="1:17" ht="19.5" customHeight="1">
      <c r="A12" s="294">
        <f>A11+1</f>
        <v>5</v>
      </c>
      <c r="B12" s="538" t="s">
        <v>383</v>
      </c>
      <c r="C12" s="571" t="s">
        <v>59</v>
      </c>
      <c r="D12" s="569" t="str">
        <f>"Line "&amp;TEXT(A8,"0")&amp;" / Line "&amp;TEXT(A11,"0")</f>
        <v>Line 1 / Line 4</v>
      </c>
      <c r="E12" s="572"/>
      <c r="F12" s="532"/>
      <c r="G12" s="573">
        <f>E8/F11</f>
        <v>19.863854158275974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7" ht="19.5" customHeight="1">
      <c r="A13" s="294">
        <f>A12+1</f>
        <v>6</v>
      </c>
      <c r="B13" s="538" t="s">
        <v>384</v>
      </c>
      <c r="C13" s="571" t="s">
        <v>34</v>
      </c>
      <c r="D13" s="569" t="str">
        <f>"Line "&amp;TEXT(A12,"0")&amp;" / 12"</f>
        <v>Line 5 / 12</v>
      </c>
      <c r="E13" s="572"/>
      <c r="F13" s="532"/>
      <c r="G13" s="574">
        <f>ROUND(G12/12,3)</f>
        <v>1.655</v>
      </c>
      <c r="H13" s="151"/>
      <c r="I13" s="151"/>
      <c r="J13" s="151"/>
      <c r="K13" s="151"/>
      <c r="L13" s="151"/>
    </row>
    <row r="14" spans="1:17" ht="13.95" customHeight="1">
      <c r="B14" s="79"/>
      <c r="C14" s="53"/>
      <c r="D14" s="220"/>
      <c r="E14" s="188"/>
      <c r="F14" s="221"/>
      <c r="G14" s="188"/>
      <c r="H14" s="151"/>
      <c r="I14" s="151"/>
      <c r="J14" s="151"/>
      <c r="K14" s="151"/>
      <c r="L14" s="151"/>
    </row>
    <row r="15" spans="1:17" ht="13.95" customHeight="1">
      <c r="B15" s="79"/>
      <c r="C15" s="53"/>
      <c r="D15" s="220"/>
      <c r="E15" s="222"/>
      <c r="F15" s="223"/>
      <c r="G15" s="188"/>
      <c r="H15" s="151"/>
      <c r="I15" s="151"/>
      <c r="J15" s="151"/>
      <c r="K15" s="151"/>
      <c r="L15" s="151"/>
    </row>
    <row r="16" spans="1:17" ht="13.95" customHeight="1">
      <c r="B16" s="79"/>
      <c r="C16" s="53"/>
      <c r="D16" s="220"/>
      <c r="E16" s="222"/>
      <c r="F16" s="188"/>
      <c r="G16" s="222"/>
      <c r="H16" s="151"/>
    </row>
    <row r="17" spans="2:8" ht="13.95" customHeight="1">
      <c r="B17" s="79"/>
      <c r="C17" s="53"/>
      <c r="D17" s="220"/>
      <c r="E17" s="188"/>
      <c r="F17" s="188"/>
      <c r="G17" s="188"/>
      <c r="H17" s="151"/>
    </row>
    <row r="18" spans="2:8" ht="13.95" customHeight="1">
      <c r="B18" s="79"/>
      <c r="C18" s="53"/>
      <c r="D18" s="163"/>
      <c r="E18" s="53"/>
      <c r="F18" s="53"/>
      <c r="G18" s="53"/>
    </row>
    <row r="19" spans="2:8" ht="13.95" customHeight="1">
      <c r="B19" s="79"/>
      <c r="C19" s="53"/>
      <c r="D19" s="163"/>
      <c r="E19" s="53"/>
      <c r="F19" s="53"/>
      <c r="G19" s="53"/>
    </row>
    <row r="20" spans="2:8" ht="13.95" customHeight="1">
      <c r="B20" s="79"/>
      <c r="C20" s="53"/>
      <c r="D20" s="163"/>
      <c r="E20" s="53"/>
      <c r="F20" s="165"/>
      <c r="G20" s="53"/>
    </row>
    <row r="21" spans="2:8" ht="13.95" customHeight="1">
      <c r="B21" s="78"/>
      <c r="F21" s="166"/>
    </row>
    <row r="22" spans="2:8" ht="13.95" customHeight="1">
      <c r="B22" s="78"/>
      <c r="F22" s="166"/>
    </row>
    <row r="23" spans="2:8" ht="13.95" customHeight="1">
      <c r="B23" s="78"/>
      <c r="F23" s="166"/>
    </row>
    <row r="24" spans="2:8" ht="13.95" customHeight="1">
      <c r="B24" s="78"/>
      <c r="F24" s="166"/>
    </row>
    <row r="25" spans="2:8" ht="13.95" customHeight="1">
      <c r="B25" s="78"/>
      <c r="F25" s="166"/>
    </row>
    <row r="26" spans="2:8" ht="13.95" customHeight="1">
      <c r="B26" s="78"/>
      <c r="F26" s="166"/>
    </row>
    <row r="27" spans="2:8" ht="13.95" customHeight="1">
      <c r="B27" s="78"/>
      <c r="F27" s="166"/>
    </row>
    <row r="28" spans="2:8" ht="13.95" customHeight="1">
      <c r="B28" s="78"/>
      <c r="F28" s="166"/>
    </row>
    <row r="29" spans="2:8" ht="13.95" customHeight="1">
      <c r="B29" s="78"/>
      <c r="E29" s="139"/>
      <c r="F29" s="166"/>
    </row>
    <row r="30" spans="2:8" ht="13.95" customHeight="1">
      <c r="B30" s="78"/>
      <c r="E30" s="202"/>
      <c r="F30" s="166"/>
    </row>
    <row r="31" spans="2:8" ht="13.95" customHeight="1">
      <c r="B31" s="78"/>
      <c r="E31" s="201"/>
      <c r="F31" s="166"/>
    </row>
    <row r="32" spans="2:8" ht="13.95" customHeight="1">
      <c r="B32" s="78"/>
      <c r="F32" s="166"/>
    </row>
    <row r="33" spans="2:6" ht="13.95" customHeight="1">
      <c r="B33" s="78"/>
      <c r="F33" s="53"/>
    </row>
    <row r="34" spans="2:6" ht="13.95" customHeight="1">
      <c r="B34" s="78"/>
      <c r="F34" s="53"/>
    </row>
    <row r="35" spans="2:6" ht="13.95" customHeight="1">
      <c r="B35" s="78"/>
      <c r="F35" s="166"/>
    </row>
    <row r="36" spans="2:6" ht="13.95" customHeight="1">
      <c r="B36" s="78"/>
      <c r="F36" s="166"/>
    </row>
    <row r="37" spans="2:6" ht="13.95" customHeight="1">
      <c r="B37" s="78"/>
      <c r="F37" s="166"/>
    </row>
    <row r="38" spans="2:6" ht="13.95" customHeight="1">
      <c r="B38" s="78"/>
      <c r="F38" s="166"/>
    </row>
    <row r="39" spans="2:6" ht="13.95" customHeight="1">
      <c r="B39" s="78"/>
      <c r="F39" s="166"/>
    </row>
    <row r="40" spans="2:6" ht="13.95" customHeight="1">
      <c r="B40" s="78"/>
      <c r="F40" s="166"/>
    </row>
    <row r="41" spans="2:6" ht="13.95" customHeight="1">
      <c r="B41" s="78"/>
    </row>
    <row r="42" spans="2:6" ht="13.95" customHeight="1">
      <c r="B42" s="78"/>
    </row>
    <row r="43" spans="2:6" ht="13.95" customHeight="1">
      <c r="B43" s="78"/>
    </row>
    <row r="44" spans="2:6" ht="13.95" customHeight="1">
      <c r="B44" s="78"/>
    </row>
    <row r="45" spans="2:6" ht="13.95" customHeight="1">
      <c r="B45" s="78"/>
    </row>
    <row r="46" spans="2:6" ht="13.95" customHeight="1">
      <c r="B46" s="78"/>
    </row>
    <row r="47" spans="2:6" ht="13.95" customHeight="1">
      <c r="B47" s="78"/>
    </row>
    <row r="48" spans="2:6" ht="13.95" customHeight="1">
      <c r="B48" s="78"/>
    </row>
    <row r="49" spans="2:2" ht="13.95" customHeight="1">
      <c r="B49" s="78"/>
    </row>
    <row r="50" spans="2:2" ht="13.95" customHeight="1">
      <c r="B50" s="78"/>
    </row>
    <row r="51" spans="2:2" ht="13.95" customHeight="1">
      <c r="B51" s="78"/>
    </row>
    <row r="52" spans="2:2" ht="13.95" customHeight="1">
      <c r="B52" s="78"/>
    </row>
    <row r="53" spans="2:2" ht="13.95" customHeight="1">
      <c r="B53" s="78"/>
    </row>
    <row r="54" spans="2:2" ht="13.95" customHeight="1">
      <c r="B54" s="78"/>
    </row>
    <row r="55" spans="2:2" ht="13.95" customHeight="1">
      <c r="B55" s="78"/>
    </row>
    <row r="56" spans="2:2" ht="13.95" customHeight="1">
      <c r="B56" s="78"/>
    </row>
    <row r="57" spans="2:2" ht="13.95" customHeight="1">
      <c r="B57" s="78"/>
    </row>
    <row r="58" spans="2:2" ht="13.95" customHeight="1">
      <c r="B58" s="78"/>
    </row>
    <row r="59" spans="2:2" ht="13.95" customHeight="1">
      <c r="B59" s="78"/>
    </row>
    <row r="60" spans="2:2" ht="13.95" customHeight="1">
      <c r="B60" s="78"/>
    </row>
    <row r="61" spans="2:2" ht="13.95" customHeight="1">
      <c r="B61" s="78"/>
    </row>
    <row r="62" spans="2:2" ht="13.95" customHeight="1">
      <c r="B62" s="78"/>
    </row>
    <row r="63" spans="2:2" ht="13.95" customHeight="1">
      <c r="B63" s="78"/>
    </row>
    <row r="64" spans="2:2" ht="13.95" customHeight="1">
      <c r="B64" s="78"/>
    </row>
    <row r="65" spans="2:2" ht="13.95" customHeight="1">
      <c r="B65" s="78"/>
    </row>
    <row r="66" spans="2:2" ht="13.95" customHeight="1">
      <c r="B66" s="78"/>
    </row>
    <row r="67" spans="2:2" ht="13.95" customHeight="1">
      <c r="B67" s="78"/>
    </row>
    <row r="68" spans="2:2">
      <c r="B68" s="78"/>
    </row>
    <row r="69" spans="2:2">
      <c r="B69" s="78"/>
    </row>
    <row r="70" spans="2:2">
      <c r="B70" s="78"/>
    </row>
    <row r="71" spans="2:2">
      <c r="B71" s="78"/>
    </row>
    <row r="72" spans="2:2">
      <c r="B72" s="78"/>
    </row>
    <row r="73" spans="2:2">
      <c r="B73" s="78"/>
    </row>
    <row r="74" spans="2:2">
      <c r="B74" s="78"/>
    </row>
    <row r="75" spans="2:2">
      <c r="B75" s="78"/>
    </row>
    <row r="76" spans="2:2">
      <c r="B76" s="78"/>
    </row>
    <row r="77" spans="2:2">
      <c r="B77" s="78"/>
    </row>
    <row r="78" spans="2:2">
      <c r="B78" s="78"/>
    </row>
    <row r="79" spans="2:2">
      <c r="B79" s="78"/>
    </row>
    <row r="80" spans="2:2">
      <c r="B80" s="78"/>
    </row>
    <row r="81" spans="2:2">
      <c r="B81" s="78"/>
    </row>
    <row r="82" spans="2:2">
      <c r="B82" s="78"/>
    </row>
    <row r="83" spans="2:2">
      <c r="B83" s="78"/>
    </row>
  </sheetData>
  <mergeCells count="2">
    <mergeCell ref="A1:G1"/>
    <mergeCell ref="A2:G2"/>
  </mergeCells>
  <phoneticPr fontId="22" type="noConversion"/>
  <printOptions horizontalCentered="1"/>
  <pageMargins left="0.5" right="0.5" top="1" bottom="0.5" header="0.5" footer="0.5"/>
  <pageSetup scale="55" fitToHeight="0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70C0"/>
  </sheetPr>
  <dimension ref="A1:XFD69"/>
  <sheetViews>
    <sheetView zoomScale="80" zoomScaleNormal="80" workbookViewId="0">
      <selection sqref="A1:J1"/>
    </sheetView>
  </sheetViews>
  <sheetFormatPr defaultColWidth="9.33203125" defaultRowHeight="15.6"/>
  <cols>
    <col min="1" max="1" width="7.6640625" style="173" bestFit="1" customWidth="1"/>
    <col min="2" max="2" width="45.44140625" style="168" customWidth="1"/>
    <col min="3" max="3" width="38.44140625" style="168" customWidth="1"/>
    <col min="4" max="5" width="12.6640625" style="168" customWidth="1"/>
    <col min="6" max="6" width="16.6640625" style="168" customWidth="1"/>
    <col min="7" max="8" width="13.33203125" style="168" customWidth="1"/>
    <col min="9" max="9" width="10.5546875" style="168" bestFit="1" customWidth="1"/>
    <col min="10" max="10" width="12.6640625" style="168" customWidth="1"/>
    <col min="11" max="11" width="17.33203125" style="168" customWidth="1"/>
    <col min="12" max="16384" width="9.33203125" style="168"/>
  </cols>
  <sheetData>
    <row r="1" spans="1:22" s="114" customFormat="1" ht="20.25" customHeight="1">
      <c r="A1" s="908" t="s">
        <v>390</v>
      </c>
      <c r="B1" s="908"/>
      <c r="C1" s="908"/>
      <c r="D1" s="908"/>
      <c r="E1" s="908"/>
      <c r="F1" s="908"/>
      <c r="G1" s="908"/>
      <c r="H1" s="908"/>
      <c r="I1" s="908"/>
      <c r="J1" s="908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</row>
    <row r="2" spans="1:22" s="114" customFormat="1" ht="20.25" customHeight="1">
      <c r="A2" s="908" t="s">
        <v>262</v>
      </c>
      <c r="B2" s="908"/>
      <c r="C2" s="908"/>
      <c r="D2" s="908"/>
      <c r="E2" s="908"/>
      <c r="F2" s="908"/>
      <c r="G2" s="908"/>
      <c r="H2" s="908"/>
      <c r="I2" s="908"/>
      <c r="J2" s="908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</row>
    <row r="3" spans="1:22">
      <c r="A3" s="508"/>
      <c r="B3" s="509" t="s">
        <v>0</v>
      </c>
      <c r="C3" s="510" t="s">
        <v>1</v>
      </c>
      <c r="D3" s="511" t="s">
        <v>2</v>
      </c>
      <c r="E3" s="510" t="s">
        <v>3</v>
      </c>
      <c r="F3" s="510" t="s">
        <v>4</v>
      </c>
      <c r="G3" s="512" t="s">
        <v>5</v>
      </c>
      <c r="H3" s="512" t="s">
        <v>6</v>
      </c>
      <c r="I3" s="510" t="s">
        <v>7</v>
      </c>
      <c r="J3" s="512" t="s">
        <v>39</v>
      </c>
      <c r="K3" s="234"/>
      <c r="L3" s="800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>
      <c r="A4" s="508"/>
      <c r="B4" s="513" t="str">
        <f>+CONCATENATE("FY "&amp;Input!$A$4&amp;"/"&amp;Input!$A$5)</f>
        <v>FY 2022/2023</v>
      </c>
      <c r="C4" s="514" t="s">
        <v>36</v>
      </c>
      <c r="D4" s="514" t="str">
        <f>CONCATENATE("FY "&amp;Input!A4)</f>
        <v>FY 2022</v>
      </c>
      <c r="E4" s="514" t="str">
        <f>CONCATENATE("FY "&amp;Input!A5)</f>
        <v>FY 2023</v>
      </c>
      <c r="F4" s="514" t="str">
        <f>+CONCATENATE("FY "&amp;Input!$A$4&amp;"/"&amp;Input!$A$5)</f>
        <v>FY 2022/2023</v>
      </c>
      <c r="G4" s="514" t="s">
        <v>42</v>
      </c>
      <c r="H4" s="514" t="s">
        <v>331</v>
      </c>
      <c r="I4" s="514" t="s">
        <v>53</v>
      </c>
      <c r="J4" s="514" t="s">
        <v>51</v>
      </c>
      <c r="K4" s="234"/>
      <c r="L4" s="799"/>
      <c r="M4" s="234"/>
      <c r="N4" s="234"/>
      <c r="O4" s="234"/>
      <c r="P4" s="234"/>
      <c r="Q4" s="234"/>
      <c r="R4" s="234"/>
      <c r="S4" s="234"/>
      <c r="T4" s="234"/>
      <c r="U4" s="234"/>
      <c r="V4" s="234"/>
    </row>
    <row r="5" spans="1:22">
      <c r="A5" s="515"/>
      <c r="B5" s="516"/>
      <c r="C5" s="512"/>
      <c r="D5" s="517" t="s">
        <v>202</v>
      </c>
      <c r="E5" s="517" t="s">
        <v>202</v>
      </c>
      <c r="F5" s="517" t="s">
        <v>202</v>
      </c>
      <c r="G5" s="518" t="s">
        <v>147</v>
      </c>
      <c r="H5" s="518"/>
      <c r="I5" s="518"/>
      <c r="J5" s="518"/>
      <c r="K5" s="234"/>
      <c r="L5" s="799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>
      <c r="A6" s="294">
        <v>1</v>
      </c>
      <c r="B6" s="519" t="s">
        <v>267</v>
      </c>
      <c r="C6" s="516"/>
      <c r="D6" s="520"/>
      <c r="E6" s="518"/>
      <c r="F6" s="518"/>
      <c r="G6" s="518"/>
      <c r="H6" s="518"/>
      <c r="I6" s="518"/>
      <c r="J6" s="518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</row>
    <row r="7" spans="1:22">
      <c r="A7" s="294">
        <f t="shared" ref="A7:A68" si="0">A6+1</f>
        <v>2</v>
      </c>
      <c r="B7" s="308" t="s">
        <v>126</v>
      </c>
      <c r="C7" s="515" t="s">
        <v>143</v>
      </c>
      <c r="D7" s="520">
        <v>73329.510500000004</v>
      </c>
      <c r="E7" s="520">
        <v>74396.527560000002</v>
      </c>
      <c r="F7" s="520">
        <f>AVERAGE(D7:E7)</f>
        <v>73863.019029999996</v>
      </c>
      <c r="G7" s="518"/>
      <c r="H7" s="518"/>
      <c r="I7" s="518"/>
      <c r="J7" s="518"/>
      <c r="K7" s="799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</row>
    <row r="8" spans="1:22">
      <c r="A8" s="294">
        <f t="shared" si="0"/>
        <v>3</v>
      </c>
      <c r="B8" s="308" t="s">
        <v>127</v>
      </c>
      <c r="C8" s="515" t="s">
        <v>143</v>
      </c>
      <c r="D8" s="521">
        <v>62203.867934480921</v>
      </c>
      <c r="E8" s="521">
        <v>63104.744456684828</v>
      </c>
      <c r="F8" s="521">
        <f>AVERAGE(D8:E8)</f>
        <v>62654.306195582874</v>
      </c>
      <c r="G8" s="518"/>
      <c r="H8" s="518"/>
      <c r="I8" s="518"/>
      <c r="J8" s="518"/>
      <c r="K8" s="799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</row>
    <row r="9" spans="1:22">
      <c r="A9" s="294">
        <f t="shared" si="0"/>
        <v>4</v>
      </c>
      <c r="B9" s="308" t="s">
        <v>556</v>
      </c>
      <c r="C9" s="515"/>
      <c r="D9" s="522">
        <v>301.01605297361499</v>
      </c>
      <c r="E9" s="522">
        <v>308.24364702014464</v>
      </c>
      <c r="F9" s="522">
        <f>AVERAGE(D9:E9)</f>
        <v>304.62984999687978</v>
      </c>
      <c r="G9" s="518"/>
      <c r="H9" s="518"/>
      <c r="I9" s="518"/>
      <c r="J9" s="518"/>
      <c r="K9" s="799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</row>
    <row r="10" spans="1:22">
      <c r="A10" s="294">
        <f t="shared" si="0"/>
        <v>5</v>
      </c>
      <c r="B10" s="299" t="s">
        <v>128</v>
      </c>
      <c r="C10" s="523"/>
      <c r="D10" s="524">
        <f>SUM(D7:D9)</f>
        <v>135834.39448745453</v>
      </c>
      <c r="E10" s="524">
        <f>SUM(E7:E9)</f>
        <v>137809.51566370495</v>
      </c>
      <c r="F10" s="520">
        <f t="shared" ref="F10:F20" si="1">AVERAGE(D10:E10)</f>
        <v>136821.95507557975</v>
      </c>
      <c r="G10" s="518"/>
      <c r="H10" s="518"/>
      <c r="I10" s="518"/>
      <c r="J10" s="518"/>
      <c r="K10" s="799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</row>
    <row r="11" spans="1:22" ht="18" customHeight="1">
      <c r="A11" s="294">
        <f t="shared" si="0"/>
        <v>6</v>
      </c>
      <c r="B11" s="299" t="s">
        <v>22</v>
      </c>
      <c r="C11" s="515" t="s">
        <v>143</v>
      </c>
      <c r="D11" s="520">
        <v>32742.78808695744</v>
      </c>
      <c r="E11" s="520">
        <v>30706.24263690459</v>
      </c>
      <c r="F11" s="520">
        <f t="shared" si="1"/>
        <v>31724.515361931015</v>
      </c>
      <c r="G11" s="518"/>
      <c r="H11" s="518"/>
      <c r="I11" s="518"/>
      <c r="J11" s="518"/>
      <c r="K11" s="799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>
      <c r="A12" s="294">
        <f t="shared" si="0"/>
        <v>7</v>
      </c>
      <c r="B12" s="299" t="s">
        <v>264</v>
      </c>
      <c r="C12" s="515" t="s">
        <v>143</v>
      </c>
      <c r="D12" s="520">
        <v>4346.5754992115562</v>
      </c>
      <c r="E12" s="520">
        <v>5920.6910794400783</v>
      </c>
      <c r="F12" s="520">
        <f t="shared" si="1"/>
        <v>5133.6332893258168</v>
      </c>
      <c r="G12" s="518"/>
      <c r="H12" s="518"/>
      <c r="I12" s="518"/>
      <c r="J12" s="518"/>
      <c r="K12" s="799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>
      <c r="A13" s="294">
        <f t="shared" si="0"/>
        <v>8</v>
      </c>
      <c r="B13" s="299" t="s">
        <v>263</v>
      </c>
      <c r="C13" s="515" t="s">
        <v>143</v>
      </c>
      <c r="D13" s="522">
        <v>586.46769359134896</v>
      </c>
      <c r="E13" s="522">
        <v>851.53306739463494</v>
      </c>
      <c r="F13" s="522">
        <f t="shared" si="1"/>
        <v>719.00038049299201</v>
      </c>
      <c r="G13" s="518"/>
      <c r="H13" s="518"/>
      <c r="I13" s="518"/>
      <c r="J13" s="518"/>
      <c r="K13" s="799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>
      <c r="A14" s="294">
        <f t="shared" si="0"/>
        <v>9</v>
      </c>
      <c r="B14" s="308" t="s">
        <v>265</v>
      </c>
      <c r="C14" s="523"/>
      <c r="D14" s="524">
        <f>SUM(D10:D13)</f>
        <v>173510.22576721487</v>
      </c>
      <c r="E14" s="524">
        <f>SUM(E10:E13)</f>
        <v>175287.98244744426</v>
      </c>
      <c r="F14" s="524">
        <f t="shared" si="1"/>
        <v>174399.10410732956</v>
      </c>
      <c r="G14" s="518"/>
      <c r="H14" s="518"/>
      <c r="I14" s="518"/>
      <c r="J14" s="518"/>
      <c r="K14" s="799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ht="18.75" customHeight="1">
      <c r="A15" s="294">
        <f t="shared" si="0"/>
        <v>10</v>
      </c>
      <c r="B15" s="339" t="s">
        <v>144</v>
      </c>
      <c r="C15" s="523" t="str">
        <f>"Table 3, Lines "&amp;TEXT('T-3'!A10,"0")&amp;" "&amp;'T-3'!I4&amp;" &amp; "&amp;TEXT('T-3'!A23,"0")&amp;" "&amp;'T-3'!I4</f>
        <v>Table 3, Lines 3 (H) &amp; 16 (H)</v>
      </c>
      <c r="D15" s="520">
        <f>'T-3'!I10</f>
        <v>-3230.7500504142854</v>
      </c>
      <c r="E15" s="520">
        <f>'T-3'!I23</f>
        <v>-2792.9639605992143</v>
      </c>
      <c r="F15" s="520">
        <f t="shared" si="1"/>
        <v>-3011.8570055067498</v>
      </c>
      <c r="G15" s="518"/>
      <c r="H15" s="518"/>
      <c r="I15" s="518"/>
      <c r="J15" s="518"/>
      <c r="K15" s="233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spans="1:22" ht="18.75" customHeight="1">
      <c r="A16" s="294">
        <f t="shared" si="0"/>
        <v>11</v>
      </c>
      <c r="B16" s="343" t="s">
        <v>566</v>
      </c>
      <c r="C16" s="525" t="str">
        <f>"Table 3, Lines "&amp;TEXT('T-3'!A11,"0")&amp;" "&amp;'T-3'!I4&amp;" &amp; "&amp;TEXT('T-3'!A24,"0")&amp;" "&amp;'T-3'!I4</f>
        <v>Table 3, Lines 4 (H) &amp; 17 (H)</v>
      </c>
      <c r="D16" s="520">
        <f>'T-3'!I11</f>
        <v>-2228.5550099999996</v>
      </c>
      <c r="E16" s="520">
        <f>'T-3'!I24</f>
        <v>-2228.5550099999996</v>
      </c>
      <c r="F16" s="520">
        <f t="shared" si="1"/>
        <v>-2228.5550099999996</v>
      </c>
      <c r="G16" s="518"/>
      <c r="H16" s="518"/>
      <c r="I16" s="518"/>
      <c r="J16" s="518"/>
      <c r="K16" s="233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spans="1:16384" ht="18.75" customHeight="1">
      <c r="A17" s="294">
        <f t="shared" si="0"/>
        <v>12</v>
      </c>
      <c r="B17" s="343" t="s">
        <v>565</v>
      </c>
      <c r="C17" s="525" t="str">
        <f>"Table 3, Lines "&amp;TEXT('T-3'!A12,"0")&amp;" "&amp;'T-3'!I4&amp;" &amp; "&amp;TEXT('T-3'!A25,"0")&amp;" "&amp;'T-3'!I4</f>
        <v>Table 3, Lines 5 (H) &amp; 18 (H)</v>
      </c>
      <c r="D17" s="520">
        <f>'T-3'!I12</f>
        <v>-2228.5550099999996</v>
      </c>
      <c r="E17" s="520">
        <f>'T-3'!I25</f>
        <v>-2228.5550099999996</v>
      </c>
      <c r="F17" s="520">
        <f t="shared" si="1"/>
        <v>-2228.5550099999996</v>
      </c>
      <c r="G17" s="518"/>
      <c r="H17" s="518"/>
      <c r="I17" s="518"/>
      <c r="J17" s="518"/>
      <c r="K17" s="233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spans="1:16384">
      <c r="A18" s="294">
        <f t="shared" si="0"/>
        <v>13</v>
      </c>
      <c r="B18" s="339" t="s">
        <v>146</v>
      </c>
      <c r="C18" s="523" t="str">
        <f>"Table 3, Lines "&amp;TEXT('T-3'!A17,"0")&amp;" "&amp;'T-3'!I4&amp;" &amp; "&amp;TEXT('T-3'!A30,"0")&amp;" "&amp;'T-3'!I4</f>
        <v>Table 3, Lines 10 (H) &amp; 23 (H)</v>
      </c>
      <c r="D18" s="520">
        <f>'T-3'!I17</f>
        <v>-44.058690027811664</v>
      </c>
      <c r="E18" s="520">
        <f>'T-3'!I30</f>
        <v>-55.784356409421441</v>
      </c>
      <c r="F18" s="520">
        <f t="shared" si="1"/>
        <v>-49.921523218616557</v>
      </c>
      <c r="G18" s="518"/>
      <c r="H18" s="518"/>
      <c r="I18" s="518"/>
      <c r="J18" s="518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spans="1:16384">
      <c r="A19" s="294">
        <f t="shared" si="0"/>
        <v>14</v>
      </c>
      <c r="B19" s="339" t="s">
        <v>152</v>
      </c>
      <c r="C19" s="523" t="str">
        <f>"Table 3, Lines "&amp;TEXT('T-3'!A18,"0")&amp;" "&amp;'T-3'!I4&amp;" &amp; "&amp;TEXT('T-3'!A31,"0")&amp;" "&amp;'T-3'!I4</f>
        <v>Table 3, Lines 11 (H) &amp; 24 (H)</v>
      </c>
      <c r="D19" s="521">
        <f>'T-3'!I18</f>
        <v>26.718073354456834</v>
      </c>
      <c r="E19" s="521">
        <f>'T-3'!I31</f>
        <v>35.655285061528232</v>
      </c>
      <c r="F19" s="521">
        <f t="shared" si="1"/>
        <v>31.186679207992533</v>
      </c>
      <c r="G19" s="518"/>
      <c r="H19" s="518"/>
      <c r="I19" s="518"/>
      <c r="J19" s="518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spans="1:16384">
      <c r="A20" s="294">
        <f t="shared" si="0"/>
        <v>15</v>
      </c>
      <c r="B20" s="299" t="s">
        <v>184</v>
      </c>
      <c r="C20" s="523" t="str">
        <f>"Sum of Lines "&amp;TEXT(A14,"0")&amp;" through "&amp;TEXT(A19,"0")</f>
        <v>Sum of Lines 9 through 14</v>
      </c>
      <c r="D20" s="526">
        <f>SUM(D14:D19)</f>
        <v>165805.02508012721</v>
      </c>
      <c r="E20" s="526">
        <f>SUM(E14:E19)</f>
        <v>168017.77939549714</v>
      </c>
      <c r="F20" s="527">
        <f t="shared" si="1"/>
        <v>166911.40223781217</v>
      </c>
      <c r="G20" s="518"/>
      <c r="H20" s="518"/>
      <c r="I20" s="518"/>
      <c r="J20" s="518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  <row r="21" spans="1:16384" s="49" customFormat="1">
      <c r="A21" s="294">
        <f t="shared" si="0"/>
        <v>16</v>
      </c>
      <c r="B21" s="528" t="s">
        <v>266</v>
      </c>
      <c r="C21" s="523" t="str">
        <f>"Table 6, Line "&amp;TEXT('T-6'!A45,"0")&amp;" "&amp;'T-6'!E3</f>
        <v>Table 6, Line 40 (D)</v>
      </c>
      <c r="D21" s="517"/>
      <c r="E21" s="529"/>
      <c r="F21" s="530">
        <v>3.4169609513513528</v>
      </c>
      <c r="G21" s="531"/>
      <c r="H21" s="531"/>
      <c r="I21" s="532"/>
      <c r="J21" s="532"/>
      <c r="K21" s="187"/>
      <c r="L21" s="789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16384">
      <c r="A22" s="294">
        <f t="shared" si="0"/>
        <v>17</v>
      </c>
      <c r="B22" s="299" t="s">
        <v>191</v>
      </c>
      <c r="C22" s="525" t="str">
        <f>"Line "&amp;TEXT(A20,"0")&amp;" - Line "&amp;TEXT(A21,"0")</f>
        <v>Line 15 - Line 16</v>
      </c>
      <c r="D22" s="521"/>
      <c r="E22" s="521"/>
      <c r="F22" s="527">
        <f>F20-F21</f>
        <v>166907.98527686083</v>
      </c>
      <c r="G22" s="518"/>
      <c r="H22" s="518"/>
      <c r="I22" s="518"/>
      <c r="J22" s="518"/>
      <c r="K22" s="801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spans="1:16384" ht="18.75" customHeight="1">
      <c r="A23" s="294">
        <f t="shared" si="0"/>
        <v>18</v>
      </c>
      <c r="B23" s="533" t="s">
        <v>335</v>
      </c>
      <c r="C23" s="534"/>
      <c r="D23" s="535"/>
      <c r="E23" s="536"/>
      <c r="F23" s="536"/>
      <c r="G23" s="516"/>
      <c r="H23" s="516"/>
      <c r="I23" s="537"/>
      <c r="J23" s="516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</row>
    <row r="24" spans="1:16384" s="49" customFormat="1">
      <c r="A24" s="294">
        <f t="shared" si="0"/>
        <v>19</v>
      </c>
      <c r="B24" s="538"/>
      <c r="C24" s="523"/>
      <c r="D24" s="517"/>
      <c r="E24" s="529"/>
      <c r="F24" s="530"/>
      <c r="G24" s="531"/>
      <c r="H24" s="531"/>
      <c r="I24" s="532"/>
      <c r="J24" s="532"/>
      <c r="K24" s="802"/>
      <c r="L24" s="234"/>
      <c r="M24" s="151"/>
      <c r="N24" s="151"/>
      <c r="O24" s="151"/>
      <c r="P24" s="151"/>
      <c r="Q24" s="151"/>
      <c r="R24" s="151"/>
      <c r="S24" s="151"/>
      <c r="T24" s="151"/>
      <c r="U24" s="151"/>
      <c r="V24" s="151"/>
    </row>
    <row r="25" spans="1:16384" s="49" customFormat="1">
      <c r="A25" s="294">
        <f t="shared" si="0"/>
        <v>20</v>
      </c>
      <c r="B25" s="538" t="s">
        <v>360</v>
      </c>
      <c r="C25" s="523" t="s">
        <v>599</v>
      </c>
      <c r="D25" s="517"/>
      <c r="E25" s="529"/>
      <c r="F25" s="530"/>
      <c r="G25" s="531">
        <f>'T-4'!P47+'T-4'!P48</f>
        <v>27852.833329528159</v>
      </c>
      <c r="H25" s="531"/>
      <c r="I25" s="532"/>
      <c r="J25" s="532"/>
      <c r="K25" s="221"/>
      <c r="L25" s="188"/>
      <c r="M25" s="151"/>
      <c r="N25" s="151"/>
      <c r="O25" s="151"/>
      <c r="P25" s="151"/>
      <c r="Q25" s="151"/>
      <c r="R25" s="151"/>
      <c r="S25" s="151"/>
      <c r="T25" s="151"/>
      <c r="U25" s="151"/>
      <c r="V25" s="151"/>
    </row>
    <row r="26" spans="1:16384" s="49" customFormat="1">
      <c r="A26" s="294">
        <f t="shared" si="0"/>
        <v>21</v>
      </c>
      <c r="B26" s="538" t="s">
        <v>198</v>
      </c>
      <c r="C26" s="523" t="str">
        <f>"Table 4, Line "&amp;TEXT('T-4'!A54,"0")&amp;" "&amp;'T-4'!P4</f>
        <v>Table 4, Line 49 (O)</v>
      </c>
      <c r="D26" s="539"/>
      <c r="E26" s="529"/>
      <c r="F26" s="530"/>
      <c r="G26" s="531">
        <f>'T-4'!P54</f>
        <v>8495.029583333333</v>
      </c>
      <c r="H26" s="531"/>
      <c r="I26" s="532"/>
      <c r="J26" s="532"/>
      <c r="K26" s="221"/>
      <c r="L26" s="188"/>
      <c r="M26" s="151"/>
      <c r="N26" s="151"/>
      <c r="O26" s="151"/>
      <c r="P26" s="151"/>
      <c r="Q26" s="151"/>
      <c r="R26" s="151"/>
      <c r="S26" s="151"/>
      <c r="T26" s="151"/>
      <c r="U26" s="151"/>
      <c r="V26" s="151"/>
    </row>
    <row r="27" spans="1:16384">
      <c r="A27" s="294">
        <f t="shared" si="0"/>
        <v>22</v>
      </c>
      <c r="B27" s="540" t="s">
        <v>47</v>
      </c>
      <c r="C27" s="523" t="str">
        <f>"Table 4, Line "&amp;TEXT('T-4'!A68,"0")&amp;" "&amp;'T-4'!P4</f>
        <v>Table 4, Line 63 (O)</v>
      </c>
      <c r="D27" s="516"/>
      <c r="E27" s="516"/>
      <c r="F27" s="541"/>
      <c r="G27" s="531">
        <f>'T-4'!P68</f>
        <v>6025</v>
      </c>
      <c r="H27" s="531"/>
      <c r="I27" s="542"/>
      <c r="J27" s="543"/>
      <c r="K27" s="221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</row>
    <row r="28" spans="1:16384" s="49" customFormat="1">
      <c r="A28" s="294">
        <f t="shared" si="0"/>
        <v>23</v>
      </c>
      <c r="B28" s="538" t="s">
        <v>190</v>
      </c>
      <c r="C28" s="525" t="str">
        <f>"Table 7, Line "&amp;TEXT('T-7'!A24,"0")&amp;" &amp; Line "&amp;TEXT('T-7'!A25,"0")&amp;" &amp; Line "&amp;TEXT('T-7'!A26,"0")</f>
        <v>Table 7, Line 20 &amp; Line 21 &amp; Line 22</v>
      </c>
      <c r="D28" s="539"/>
      <c r="E28" s="529"/>
      <c r="F28" s="530"/>
      <c r="G28" s="531">
        <f>SUM('T-7'!E24:E26)</f>
        <v>1486.9592607526884</v>
      </c>
      <c r="H28" s="531"/>
      <c r="I28" s="532"/>
      <c r="J28" s="532"/>
      <c r="K28" s="221"/>
      <c r="L28" s="188"/>
      <c r="M28" s="151"/>
      <c r="N28" s="151"/>
      <c r="O28" s="151"/>
      <c r="P28" s="151"/>
      <c r="Q28" s="151"/>
      <c r="R28" s="151"/>
      <c r="S28" s="151"/>
      <c r="T28" s="151"/>
      <c r="U28" s="151"/>
      <c r="V28" s="151"/>
    </row>
    <row r="29" spans="1:16384" s="153" customFormat="1">
      <c r="A29" s="294">
        <f t="shared" si="0"/>
        <v>24</v>
      </c>
      <c r="B29" s="538" t="s">
        <v>392</v>
      </c>
      <c r="C29" s="525" t="str">
        <f>"Table 8, Line "&amp;TEXT('T-8'!A16,"0")&amp;" &amp; Line "&amp;'T-8'!A17</f>
        <v>Table 8, Line 10 &amp; Line 11</v>
      </c>
      <c r="D29" s="539"/>
      <c r="E29" s="529"/>
      <c r="F29" s="530"/>
      <c r="G29" s="531">
        <f>'T-8'!E16+'T-8'!E17</f>
        <v>3.5037442396313363</v>
      </c>
      <c r="H29" s="531"/>
      <c r="I29" s="532"/>
      <c r="J29" s="532"/>
      <c r="K29" s="221"/>
      <c r="L29" s="188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  <c r="WEZ29" s="49"/>
      <c r="WFA29" s="49"/>
      <c r="WFB29" s="49"/>
      <c r="WFC29" s="49"/>
      <c r="WFD29" s="49"/>
      <c r="WFE29" s="49"/>
      <c r="WFF29" s="49"/>
      <c r="WFG29" s="49"/>
      <c r="WFH29" s="49"/>
      <c r="WFI29" s="49"/>
      <c r="WFJ29" s="49"/>
      <c r="WFK29" s="49"/>
      <c r="WFL29" s="49"/>
      <c r="WFM29" s="49"/>
      <c r="WFN29" s="49"/>
      <c r="WFO29" s="49"/>
      <c r="WFP29" s="49"/>
      <c r="WFQ29" s="49"/>
      <c r="WFR29" s="49"/>
      <c r="WFS29" s="49"/>
      <c r="WFT29" s="49"/>
      <c r="WFU29" s="49"/>
      <c r="WFV29" s="49"/>
      <c r="WFW29" s="49"/>
      <c r="WFX29" s="49"/>
      <c r="WFY29" s="49"/>
      <c r="WFZ29" s="49"/>
      <c r="WGA29" s="49"/>
      <c r="WGB29" s="49"/>
      <c r="WGC29" s="49"/>
      <c r="WGD29" s="49"/>
      <c r="WGE29" s="49"/>
      <c r="WGF29" s="49"/>
      <c r="WGG29" s="49"/>
      <c r="WGH29" s="49"/>
      <c r="WGI29" s="49"/>
      <c r="WGJ29" s="49"/>
      <c r="WGK29" s="49"/>
      <c r="WGL29" s="49"/>
      <c r="WGM29" s="49"/>
      <c r="WGN29" s="49"/>
      <c r="WGO29" s="49"/>
      <c r="WGP29" s="49"/>
      <c r="WGQ29" s="49"/>
      <c r="WGR29" s="49"/>
      <c r="WGS29" s="49"/>
      <c r="WGT29" s="49"/>
      <c r="WGU29" s="49"/>
      <c r="WGV29" s="49"/>
      <c r="WGW29" s="49"/>
      <c r="WGX29" s="49"/>
      <c r="WGY29" s="49"/>
      <c r="WGZ29" s="49"/>
      <c r="WHA29" s="49"/>
      <c r="WHB29" s="49"/>
      <c r="WHC29" s="49"/>
      <c r="WHD29" s="49"/>
      <c r="WHE29" s="49"/>
      <c r="WHF29" s="49"/>
      <c r="WHG29" s="49"/>
      <c r="WHH29" s="49"/>
      <c r="WHI29" s="49"/>
      <c r="WHJ29" s="49"/>
      <c r="WHK29" s="49"/>
      <c r="WHL29" s="49"/>
      <c r="WHM29" s="49"/>
      <c r="WHN29" s="49"/>
      <c r="WHO29" s="49"/>
      <c r="WHP29" s="49"/>
      <c r="WHQ29" s="49"/>
      <c r="WHR29" s="49"/>
      <c r="WHS29" s="49"/>
      <c r="WHT29" s="49"/>
      <c r="WHU29" s="49"/>
      <c r="WHV29" s="49"/>
      <c r="WHW29" s="49"/>
      <c r="WHX29" s="49"/>
      <c r="WHY29" s="49"/>
      <c r="WHZ29" s="49"/>
      <c r="WIA29" s="49"/>
      <c r="WIB29" s="49"/>
      <c r="WIC29" s="49"/>
      <c r="WID29" s="49"/>
      <c r="WIE29" s="49"/>
      <c r="WIF29" s="49"/>
      <c r="WIG29" s="49"/>
      <c r="WIH29" s="49"/>
      <c r="WII29" s="49"/>
      <c r="WIJ29" s="49"/>
      <c r="WIK29" s="49"/>
      <c r="WIL29" s="49"/>
      <c r="WIM29" s="49"/>
      <c r="WIN29" s="49"/>
      <c r="WIO29" s="49"/>
      <c r="WIP29" s="49"/>
      <c r="WIQ29" s="49"/>
      <c r="WIR29" s="49"/>
      <c r="WIS29" s="49"/>
      <c r="WIT29" s="49"/>
      <c r="WIU29" s="49"/>
      <c r="WIV29" s="49"/>
      <c r="WIW29" s="49"/>
      <c r="WIX29" s="49"/>
      <c r="WIY29" s="49"/>
      <c r="WIZ29" s="49"/>
      <c r="WJA29" s="49"/>
      <c r="WJB29" s="49"/>
      <c r="WJC29" s="49"/>
      <c r="WJD29" s="49"/>
      <c r="WJE29" s="49"/>
      <c r="WJF29" s="49"/>
      <c r="WJG29" s="49"/>
      <c r="WJH29" s="49"/>
      <c r="WJI29" s="49"/>
      <c r="WJJ29" s="49"/>
      <c r="WJK29" s="49"/>
      <c r="WJL29" s="49"/>
      <c r="WJM29" s="49"/>
      <c r="WJN29" s="49"/>
      <c r="WJO29" s="49"/>
      <c r="WJP29" s="49"/>
      <c r="WJQ29" s="49"/>
      <c r="WJR29" s="49"/>
      <c r="WJS29" s="49"/>
      <c r="WJT29" s="49"/>
      <c r="WJU29" s="49"/>
      <c r="WJV29" s="49"/>
      <c r="WJW29" s="49"/>
      <c r="WJX29" s="49"/>
      <c r="WJY29" s="49"/>
      <c r="WJZ29" s="49"/>
      <c r="WKA29" s="49"/>
      <c r="WKB29" s="49"/>
      <c r="WKC29" s="49"/>
      <c r="WKD29" s="49"/>
      <c r="WKE29" s="49"/>
      <c r="WKF29" s="49"/>
      <c r="WKG29" s="49"/>
      <c r="WKH29" s="49"/>
      <c r="WKI29" s="49"/>
      <c r="WKJ29" s="49"/>
      <c r="WKK29" s="49"/>
      <c r="WKL29" s="49"/>
      <c r="WKM29" s="49"/>
      <c r="WKN29" s="49"/>
      <c r="WKO29" s="49"/>
      <c r="WKP29" s="49"/>
      <c r="WKQ29" s="49"/>
      <c r="WKR29" s="49"/>
      <c r="WKS29" s="49"/>
      <c r="WKT29" s="49"/>
      <c r="WKU29" s="49"/>
      <c r="WKV29" s="49"/>
      <c r="WKW29" s="49"/>
      <c r="WKX29" s="49"/>
      <c r="WKY29" s="49"/>
      <c r="WKZ29" s="49"/>
      <c r="WLA29" s="49"/>
      <c r="WLB29" s="49"/>
      <c r="WLC29" s="49"/>
      <c r="WLD29" s="49"/>
      <c r="WLE29" s="49"/>
      <c r="WLF29" s="49"/>
      <c r="WLG29" s="49"/>
      <c r="WLH29" s="49"/>
      <c r="WLI29" s="49"/>
      <c r="WLJ29" s="49"/>
      <c r="WLK29" s="49"/>
      <c r="WLL29" s="49"/>
      <c r="WLM29" s="49"/>
      <c r="WLN29" s="49"/>
      <c r="WLO29" s="49"/>
      <c r="WLP29" s="49"/>
      <c r="WLQ29" s="49"/>
      <c r="WLR29" s="49"/>
      <c r="WLS29" s="49"/>
      <c r="WLT29" s="49"/>
      <c r="WLU29" s="49"/>
      <c r="WLV29" s="49"/>
      <c r="WLW29" s="49"/>
      <c r="WLX29" s="49"/>
      <c r="WLY29" s="49"/>
      <c r="WLZ29" s="49"/>
      <c r="WMA29" s="49"/>
      <c r="WMB29" s="49"/>
      <c r="WMC29" s="49"/>
      <c r="WMD29" s="49"/>
      <c r="WME29" s="49"/>
      <c r="WMF29" s="49"/>
      <c r="WMG29" s="49"/>
      <c r="WMH29" s="49"/>
      <c r="WMI29" s="49"/>
      <c r="WMJ29" s="49"/>
      <c r="WMK29" s="49"/>
      <c r="WML29" s="49"/>
      <c r="WMM29" s="49"/>
      <c r="WMN29" s="49"/>
      <c r="WMO29" s="49"/>
      <c r="WMP29" s="49"/>
      <c r="WMQ29" s="49"/>
      <c r="WMR29" s="49"/>
      <c r="WMS29" s="49"/>
      <c r="WMT29" s="49"/>
      <c r="WMU29" s="49"/>
      <c r="WMV29" s="49"/>
      <c r="WMW29" s="49"/>
      <c r="WMX29" s="49"/>
      <c r="WMY29" s="49"/>
      <c r="WMZ29" s="49"/>
      <c r="WNA29" s="49"/>
      <c r="WNB29" s="49"/>
      <c r="WNC29" s="49"/>
      <c r="WND29" s="49"/>
      <c r="WNE29" s="49"/>
      <c r="WNF29" s="49"/>
      <c r="WNG29" s="49"/>
      <c r="WNH29" s="49"/>
      <c r="WNI29" s="49"/>
      <c r="WNJ29" s="49"/>
      <c r="WNK29" s="49"/>
      <c r="WNL29" s="49"/>
      <c r="WNM29" s="49"/>
      <c r="WNN29" s="49"/>
      <c r="WNO29" s="49"/>
      <c r="WNP29" s="49"/>
      <c r="WNQ29" s="49"/>
      <c r="WNR29" s="49"/>
      <c r="WNS29" s="49"/>
      <c r="WNT29" s="49"/>
      <c r="WNU29" s="49"/>
      <c r="WNV29" s="49"/>
      <c r="WNW29" s="49"/>
      <c r="WNX29" s="49"/>
      <c r="WNY29" s="49"/>
      <c r="WNZ29" s="49"/>
      <c r="WOA29" s="49"/>
      <c r="WOB29" s="49"/>
      <c r="WOC29" s="49"/>
      <c r="WOD29" s="49"/>
      <c r="WOE29" s="49"/>
      <c r="WOF29" s="49"/>
      <c r="WOG29" s="49"/>
      <c r="WOH29" s="49"/>
      <c r="WOI29" s="49"/>
      <c r="WOJ29" s="49"/>
      <c r="WOK29" s="49"/>
      <c r="WOL29" s="49"/>
      <c r="WOM29" s="49"/>
      <c r="WON29" s="49"/>
      <c r="WOO29" s="49"/>
      <c r="WOP29" s="49"/>
      <c r="WOQ29" s="49"/>
      <c r="WOR29" s="49"/>
      <c r="WOS29" s="49"/>
      <c r="WOT29" s="49"/>
      <c r="WOU29" s="49"/>
      <c r="WOV29" s="49"/>
      <c r="WOW29" s="49"/>
      <c r="WOX29" s="49"/>
      <c r="WOY29" s="49"/>
      <c r="WOZ29" s="49"/>
      <c r="WPA29" s="49"/>
      <c r="WPB29" s="49"/>
      <c r="WPC29" s="49"/>
      <c r="WPD29" s="49"/>
      <c r="WPE29" s="49"/>
      <c r="WPF29" s="49"/>
      <c r="WPG29" s="49"/>
      <c r="WPH29" s="49"/>
      <c r="WPI29" s="49"/>
      <c r="WPJ29" s="49"/>
      <c r="WPK29" s="49"/>
      <c r="WPL29" s="49"/>
      <c r="WPM29" s="49"/>
      <c r="WPN29" s="49"/>
      <c r="WPO29" s="49"/>
      <c r="WPP29" s="49"/>
      <c r="WPQ29" s="49"/>
      <c r="WPR29" s="49"/>
      <c r="WPS29" s="49"/>
      <c r="WPT29" s="49"/>
      <c r="WPU29" s="49"/>
      <c r="WPV29" s="49"/>
      <c r="WPW29" s="49"/>
      <c r="WPX29" s="49"/>
      <c r="WPY29" s="49"/>
      <c r="WPZ29" s="49"/>
      <c r="WQA29" s="49"/>
      <c r="WQB29" s="49"/>
      <c r="WQC29" s="49"/>
      <c r="WQD29" s="49"/>
      <c r="WQE29" s="49"/>
      <c r="WQF29" s="49"/>
      <c r="WQG29" s="49"/>
      <c r="WQH29" s="49"/>
      <c r="WQI29" s="49"/>
      <c r="WQJ29" s="49"/>
      <c r="WQK29" s="49"/>
      <c r="WQL29" s="49"/>
      <c r="WQM29" s="49"/>
      <c r="WQN29" s="49"/>
      <c r="WQO29" s="49"/>
      <c r="WQP29" s="49"/>
      <c r="WQQ29" s="49"/>
      <c r="WQR29" s="49"/>
      <c r="WQS29" s="49"/>
      <c r="WQT29" s="49"/>
      <c r="WQU29" s="49"/>
      <c r="WQV29" s="49"/>
      <c r="WQW29" s="49"/>
      <c r="WQX29" s="49"/>
      <c r="WQY29" s="49"/>
      <c r="WQZ29" s="49"/>
      <c r="WRA29" s="49"/>
      <c r="WRB29" s="49"/>
      <c r="WRC29" s="49"/>
      <c r="WRD29" s="49"/>
      <c r="WRE29" s="49"/>
      <c r="WRF29" s="49"/>
      <c r="WRG29" s="49"/>
      <c r="WRH29" s="49"/>
      <c r="WRI29" s="49"/>
      <c r="WRJ29" s="49"/>
      <c r="WRK29" s="49"/>
      <c r="WRL29" s="49"/>
      <c r="WRM29" s="49"/>
      <c r="WRN29" s="49"/>
      <c r="WRO29" s="49"/>
      <c r="WRP29" s="49"/>
      <c r="WRQ29" s="49"/>
      <c r="WRR29" s="49"/>
      <c r="WRS29" s="49"/>
      <c r="WRT29" s="49"/>
      <c r="WRU29" s="49"/>
      <c r="WRV29" s="49"/>
      <c r="WRW29" s="49"/>
      <c r="WRX29" s="49"/>
      <c r="WRY29" s="49"/>
      <c r="WRZ29" s="49"/>
      <c r="WSA29" s="49"/>
      <c r="WSB29" s="49"/>
      <c r="WSC29" s="49"/>
      <c r="WSD29" s="49"/>
      <c r="WSE29" s="49"/>
      <c r="WSF29" s="49"/>
      <c r="WSG29" s="49"/>
      <c r="WSH29" s="49"/>
      <c r="WSI29" s="49"/>
      <c r="WSJ29" s="49"/>
      <c r="WSK29" s="49"/>
      <c r="WSL29" s="49"/>
      <c r="WSM29" s="49"/>
      <c r="WSN29" s="49"/>
      <c r="WSO29" s="49"/>
      <c r="WSP29" s="49"/>
      <c r="WSQ29" s="49"/>
      <c r="WSR29" s="49"/>
      <c r="WSS29" s="49"/>
      <c r="WST29" s="49"/>
      <c r="WSU29" s="49"/>
      <c r="WSV29" s="49"/>
      <c r="WSW29" s="49"/>
      <c r="WSX29" s="49"/>
      <c r="WSY29" s="49"/>
      <c r="WSZ29" s="49"/>
      <c r="WTA29" s="49"/>
      <c r="WTB29" s="49"/>
      <c r="WTC29" s="49"/>
      <c r="WTD29" s="49"/>
      <c r="WTE29" s="49"/>
      <c r="WTF29" s="49"/>
      <c r="WTG29" s="49"/>
      <c r="WTH29" s="49"/>
      <c r="WTI29" s="49"/>
      <c r="WTJ29" s="49"/>
      <c r="WTK29" s="49"/>
      <c r="WTL29" s="49"/>
      <c r="WTM29" s="49"/>
      <c r="WTN29" s="49"/>
      <c r="WTO29" s="49"/>
      <c r="WTP29" s="49"/>
      <c r="WTQ29" s="49"/>
      <c r="WTR29" s="49"/>
      <c r="WTS29" s="49"/>
      <c r="WTT29" s="49"/>
      <c r="WTU29" s="49"/>
      <c r="WTV29" s="49"/>
      <c r="WTW29" s="49"/>
      <c r="WTX29" s="49"/>
      <c r="WTY29" s="49"/>
      <c r="WTZ29" s="49"/>
      <c r="WUA29" s="49"/>
      <c r="WUB29" s="49"/>
      <c r="WUC29" s="49"/>
      <c r="WUD29" s="49"/>
      <c r="WUE29" s="49"/>
      <c r="WUF29" s="49"/>
      <c r="WUG29" s="49"/>
      <c r="WUH29" s="49"/>
      <c r="WUI29" s="49"/>
      <c r="WUJ29" s="49"/>
      <c r="WUK29" s="49"/>
      <c r="WUL29" s="49"/>
      <c r="WUM29" s="49"/>
      <c r="WUN29" s="49"/>
      <c r="WUO29" s="49"/>
      <c r="WUP29" s="49"/>
      <c r="WUQ29" s="49"/>
      <c r="WUR29" s="49"/>
      <c r="WUS29" s="49"/>
      <c r="WUT29" s="49"/>
      <c r="WUU29" s="49"/>
      <c r="WUV29" s="49"/>
      <c r="WUW29" s="49"/>
      <c r="WUX29" s="49"/>
      <c r="WUY29" s="49"/>
      <c r="WUZ29" s="49"/>
      <c r="WVA29" s="49"/>
      <c r="WVB29" s="49"/>
      <c r="WVC29" s="49"/>
      <c r="WVD29" s="49"/>
      <c r="WVE29" s="49"/>
      <c r="WVF29" s="49"/>
      <c r="WVG29" s="49"/>
      <c r="WVH29" s="49"/>
      <c r="WVI29" s="49"/>
      <c r="WVJ29" s="49"/>
      <c r="WVK29" s="49"/>
      <c r="WVL29" s="49"/>
      <c r="WVM29" s="49"/>
      <c r="WVN29" s="49"/>
      <c r="WVO29" s="49"/>
      <c r="WVP29" s="49"/>
      <c r="WVQ29" s="49"/>
      <c r="WVR29" s="49"/>
      <c r="WVS29" s="49"/>
      <c r="WVT29" s="49"/>
      <c r="WVU29" s="49"/>
      <c r="WVV29" s="49"/>
      <c r="WVW29" s="49"/>
      <c r="WVX29" s="49"/>
      <c r="WVY29" s="49"/>
      <c r="WVZ29" s="49"/>
      <c r="WWA29" s="49"/>
      <c r="WWB29" s="49"/>
      <c r="WWC29" s="49"/>
      <c r="WWD29" s="49"/>
      <c r="WWE29" s="49"/>
      <c r="WWF29" s="49"/>
      <c r="WWG29" s="49"/>
      <c r="WWH29" s="49"/>
      <c r="WWI29" s="49"/>
      <c r="WWJ29" s="49"/>
      <c r="WWK29" s="49"/>
      <c r="WWL29" s="49"/>
      <c r="WWM29" s="49"/>
      <c r="WWN29" s="49"/>
      <c r="WWO29" s="49"/>
      <c r="WWP29" s="49"/>
      <c r="WWQ29" s="49"/>
      <c r="WWR29" s="49"/>
      <c r="WWS29" s="49"/>
      <c r="WWT29" s="49"/>
      <c r="WWU29" s="49"/>
      <c r="WWV29" s="49"/>
      <c r="WWW29" s="49"/>
      <c r="WWX29" s="49"/>
      <c r="WWY29" s="49"/>
      <c r="WWZ29" s="49"/>
      <c r="WXA29" s="49"/>
      <c r="WXB29" s="49"/>
      <c r="WXC29" s="49"/>
      <c r="WXD29" s="49"/>
      <c r="WXE29" s="49"/>
      <c r="WXF29" s="49"/>
      <c r="WXG29" s="49"/>
      <c r="WXH29" s="49"/>
      <c r="WXI29" s="49"/>
      <c r="WXJ29" s="49"/>
      <c r="WXK29" s="49"/>
      <c r="WXL29" s="49"/>
      <c r="WXM29" s="49"/>
      <c r="WXN29" s="49"/>
      <c r="WXO29" s="49"/>
      <c r="WXP29" s="49"/>
      <c r="WXQ29" s="49"/>
      <c r="WXR29" s="49"/>
      <c r="WXS29" s="49"/>
      <c r="WXT29" s="49"/>
      <c r="WXU29" s="49"/>
      <c r="WXV29" s="49"/>
      <c r="WXW29" s="49"/>
      <c r="WXX29" s="49"/>
      <c r="WXY29" s="49"/>
      <c r="WXZ29" s="49"/>
      <c r="WYA29" s="49"/>
      <c r="WYB29" s="49"/>
      <c r="WYC29" s="49"/>
      <c r="WYD29" s="49"/>
      <c r="WYE29" s="49"/>
      <c r="WYF29" s="49"/>
      <c r="WYG29" s="49"/>
      <c r="WYH29" s="49"/>
      <c r="WYI29" s="49"/>
      <c r="WYJ29" s="49"/>
      <c r="WYK29" s="49"/>
      <c r="WYL29" s="49"/>
      <c r="WYM29" s="49"/>
      <c r="WYN29" s="49"/>
      <c r="WYO29" s="49"/>
      <c r="WYP29" s="49"/>
      <c r="WYQ29" s="49"/>
      <c r="WYR29" s="49"/>
      <c r="WYS29" s="49"/>
      <c r="WYT29" s="49"/>
      <c r="WYU29" s="49"/>
      <c r="WYV29" s="49"/>
      <c r="WYW29" s="49"/>
      <c r="WYX29" s="49"/>
      <c r="WYY29" s="49"/>
      <c r="WYZ29" s="49"/>
      <c r="WZA29" s="49"/>
      <c r="WZB29" s="49"/>
      <c r="WZC29" s="49"/>
      <c r="WZD29" s="49"/>
      <c r="WZE29" s="49"/>
      <c r="WZF29" s="49"/>
      <c r="WZG29" s="49"/>
      <c r="WZH29" s="49"/>
      <c r="WZI29" s="49"/>
      <c r="WZJ29" s="49"/>
      <c r="WZK29" s="49"/>
      <c r="WZL29" s="49"/>
      <c r="WZM29" s="49"/>
      <c r="WZN29" s="49"/>
      <c r="WZO29" s="49"/>
      <c r="WZP29" s="49"/>
      <c r="WZQ29" s="49"/>
      <c r="WZR29" s="49"/>
      <c r="WZS29" s="49"/>
      <c r="WZT29" s="49"/>
      <c r="WZU29" s="49"/>
      <c r="WZV29" s="49"/>
      <c r="WZW29" s="49"/>
      <c r="WZX29" s="49"/>
      <c r="WZY29" s="49"/>
      <c r="WZZ29" s="49"/>
      <c r="XAA29" s="49"/>
      <c r="XAB29" s="49"/>
      <c r="XAC29" s="49"/>
      <c r="XAD29" s="49"/>
      <c r="XAE29" s="49"/>
      <c r="XAF29" s="49"/>
      <c r="XAG29" s="49"/>
      <c r="XAH29" s="49"/>
      <c r="XAI29" s="49"/>
      <c r="XAJ29" s="49"/>
      <c r="XAK29" s="49"/>
      <c r="XAL29" s="49"/>
      <c r="XAM29" s="49"/>
      <c r="XAN29" s="49"/>
      <c r="XAO29" s="49"/>
      <c r="XAP29" s="49"/>
      <c r="XAQ29" s="49"/>
      <c r="XAR29" s="49"/>
      <c r="XAS29" s="49"/>
      <c r="XAT29" s="49"/>
      <c r="XAU29" s="49"/>
      <c r="XAV29" s="49"/>
      <c r="XAW29" s="49"/>
      <c r="XAX29" s="49"/>
      <c r="XAY29" s="49"/>
      <c r="XAZ29" s="49"/>
      <c r="XBA29" s="49"/>
      <c r="XBB29" s="49"/>
      <c r="XBC29" s="49"/>
      <c r="XBD29" s="49"/>
      <c r="XBE29" s="49"/>
      <c r="XBF29" s="49"/>
      <c r="XBG29" s="49"/>
      <c r="XBH29" s="49"/>
      <c r="XBI29" s="49"/>
      <c r="XBJ29" s="49"/>
      <c r="XBK29" s="49"/>
      <c r="XBL29" s="49"/>
      <c r="XBM29" s="49"/>
      <c r="XBN29" s="49"/>
      <c r="XBO29" s="49"/>
      <c r="XBP29" s="49"/>
      <c r="XBQ29" s="49"/>
      <c r="XBR29" s="49"/>
      <c r="XBS29" s="49"/>
      <c r="XBT29" s="49"/>
      <c r="XBU29" s="49"/>
      <c r="XBV29" s="49"/>
      <c r="XBW29" s="49"/>
      <c r="XBX29" s="49"/>
      <c r="XBY29" s="49"/>
      <c r="XBZ29" s="49"/>
      <c r="XCA29" s="49"/>
      <c r="XCB29" s="49"/>
      <c r="XCC29" s="49"/>
      <c r="XCD29" s="49"/>
      <c r="XCE29" s="49"/>
      <c r="XCF29" s="49"/>
      <c r="XCG29" s="49"/>
      <c r="XCH29" s="49"/>
      <c r="XCI29" s="49"/>
      <c r="XCJ29" s="49"/>
      <c r="XCK29" s="49"/>
      <c r="XCL29" s="49"/>
      <c r="XCM29" s="49"/>
      <c r="XCN29" s="49"/>
      <c r="XCO29" s="49"/>
      <c r="XCP29" s="49"/>
      <c r="XCQ29" s="49"/>
      <c r="XCR29" s="49"/>
      <c r="XCS29" s="49"/>
      <c r="XCT29" s="49"/>
      <c r="XCU29" s="49"/>
      <c r="XCV29" s="49"/>
      <c r="XCW29" s="49"/>
      <c r="XCX29" s="49"/>
      <c r="XCY29" s="49"/>
      <c r="XCZ29" s="49"/>
      <c r="XDA29" s="49"/>
      <c r="XDB29" s="49"/>
      <c r="XDC29" s="49"/>
      <c r="XDD29" s="49"/>
      <c r="XDE29" s="49"/>
      <c r="XDF29" s="49"/>
      <c r="XDG29" s="49"/>
      <c r="XDH29" s="49"/>
      <c r="XDI29" s="49"/>
      <c r="XDJ29" s="49"/>
      <c r="XDK29" s="49"/>
      <c r="XDL29" s="49"/>
      <c r="XDM29" s="49"/>
      <c r="XDN29" s="49"/>
      <c r="XDO29" s="49"/>
      <c r="XDP29" s="49"/>
      <c r="XDQ29" s="49"/>
      <c r="XDR29" s="49"/>
      <c r="XDS29" s="49"/>
      <c r="XDT29" s="49"/>
      <c r="XDU29" s="49"/>
      <c r="XDV29" s="49"/>
      <c r="XDW29" s="49"/>
      <c r="XDX29" s="49"/>
      <c r="XDY29" s="49"/>
      <c r="XDZ29" s="49"/>
      <c r="XEA29" s="49"/>
      <c r="XEB29" s="49"/>
      <c r="XEC29" s="49"/>
      <c r="XED29" s="49"/>
      <c r="XEE29" s="49"/>
      <c r="XEF29" s="49"/>
      <c r="XEG29" s="49"/>
      <c r="XEH29" s="49"/>
      <c r="XEI29" s="49"/>
      <c r="XEJ29" s="49"/>
      <c r="XEK29" s="49"/>
      <c r="XEL29" s="49"/>
      <c r="XEM29" s="49"/>
      <c r="XEN29" s="49"/>
      <c r="XEO29" s="49"/>
      <c r="XEP29" s="49"/>
      <c r="XEQ29" s="49"/>
      <c r="XER29" s="49"/>
      <c r="XES29" s="49"/>
      <c r="XET29" s="49"/>
      <c r="XEU29" s="49"/>
      <c r="XEV29" s="49"/>
      <c r="XEW29" s="49"/>
      <c r="XEX29" s="49"/>
      <c r="XEY29" s="49"/>
      <c r="XEZ29" s="49"/>
      <c r="XFA29" s="49"/>
      <c r="XFB29" s="49"/>
      <c r="XFC29" s="49"/>
      <c r="XFD29" s="49"/>
    </row>
    <row r="30" spans="1:16384" s="153" customFormat="1">
      <c r="A30" s="294">
        <f t="shared" si="0"/>
        <v>25</v>
      </c>
      <c r="B30" s="538" t="s">
        <v>393</v>
      </c>
      <c r="C30" s="525" t="str">
        <f>"Table 8, Line "&amp;TEXT('T-8'!A13,"0")&amp;" * 7/5 * 24/16"</f>
        <v>Table 8, Line 7 * 7/5 * 24/16</v>
      </c>
      <c r="D30" s="539"/>
      <c r="E30" s="529"/>
      <c r="F30" s="530"/>
      <c r="G30" s="531">
        <f>'T-8'!E13*7/5*24/16</f>
        <v>95.012668010752662</v>
      </c>
      <c r="H30" s="531"/>
      <c r="I30" s="532"/>
      <c r="J30" s="532"/>
      <c r="K30" s="221"/>
      <c r="L30" s="188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  <c r="AML30" s="49"/>
      <c r="AMM30" s="49"/>
      <c r="AMN30" s="49"/>
      <c r="AMO30" s="49"/>
      <c r="AMP30" s="49"/>
      <c r="AMQ30" s="49"/>
      <c r="AMR30" s="49"/>
      <c r="AMS30" s="49"/>
      <c r="AMT30" s="49"/>
      <c r="AMU30" s="49"/>
      <c r="AMV30" s="49"/>
      <c r="AMW30" s="49"/>
      <c r="AMX30" s="49"/>
      <c r="AMY30" s="49"/>
      <c r="AMZ30" s="49"/>
      <c r="ANA30" s="49"/>
      <c r="ANB30" s="49"/>
      <c r="ANC30" s="49"/>
      <c r="AND30" s="49"/>
      <c r="ANE30" s="49"/>
      <c r="ANF30" s="49"/>
      <c r="ANG30" s="49"/>
      <c r="ANH30" s="49"/>
      <c r="ANI30" s="49"/>
      <c r="ANJ30" s="49"/>
      <c r="ANK30" s="49"/>
      <c r="ANL30" s="49"/>
      <c r="ANM30" s="49"/>
      <c r="ANN30" s="49"/>
      <c r="ANO30" s="49"/>
      <c r="ANP30" s="49"/>
      <c r="ANQ30" s="49"/>
      <c r="ANR30" s="49"/>
      <c r="ANS30" s="49"/>
      <c r="ANT30" s="49"/>
      <c r="ANU30" s="49"/>
      <c r="ANV30" s="49"/>
      <c r="ANW30" s="49"/>
      <c r="ANX30" s="49"/>
      <c r="ANY30" s="49"/>
      <c r="ANZ30" s="49"/>
      <c r="AOA30" s="49"/>
      <c r="AOB30" s="49"/>
      <c r="AOC30" s="49"/>
      <c r="AOD30" s="49"/>
      <c r="AOE30" s="49"/>
      <c r="AOF30" s="49"/>
      <c r="AOG30" s="49"/>
      <c r="AOH30" s="49"/>
      <c r="AOI30" s="49"/>
      <c r="AOJ30" s="49"/>
      <c r="AOK30" s="49"/>
      <c r="AOL30" s="49"/>
      <c r="AOM30" s="49"/>
      <c r="AON30" s="49"/>
      <c r="AOO30" s="49"/>
      <c r="AOP30" s="49"/>
      <c r="AOQ30" s="49"/>
      <c r="AOR30" s="49"/>
      <c r="AOS30" s="49"/>
      <c r="AOT30" s="49"/>
      <c r="AOU30" s="49"/>
      <c r="AOV30" s="49"/>
      <c r="AOW30" s="49"/>
      <c r="AOX30" s="49"/>
      <c r="AOY30" s="49"/>
      <c r="AOZ30" s="49"/>
      <c r="APA30" s="49"/>
      <c r="APB30" s="49"/>
      <c r="APC30" s="49"/>
      <c r="APD30" s="49"/>
      <c r="APE30" s="49"/>
      <c r="APF30" s="49"/>
      <c r="APG30" s="49"/>
      <c r="APH30" s="49"/>
      <c r="API30" s="49"/>
      <c r="APJ30" s="49"/>
      <c r="APK30" s="49"/>
      <c r="APL30" s="49"/>
      <c r="APM30" s="49"/>
      <c r="APN30" s="49"/>
      <c r="APO30" s="49"/>
      <c r="APP30" s="49"/>
      <c r="APQ30" s="49"/>
      <c r="APR30" s="49"/>
      <c r="APS30" s="49"/>
      <c r="APT30" s="49"/>
      <c r="APU30" s="49"/>
      <c r="APV30" s="49"/>
      <c r="APW30" s="49"/>
      <c r="APX30" s="49"/>
      <c r="APY30" s="49"/>
      <c r="APZ30" s="49"/>
      <c r="AQA30" s="49"/>
      <c r="AQB30" s="49"/>
      <c r="AQC30" s="49"/>
      <c r="AQD30" s="49"/>
      <c r="AQE30" s="49"/>
      <c r="AQF30" s="49"/>
      <c r="AQG30" s="49"/>
      <c r="AQH30" s="49"/>
      <c r="AQI30" s="49"/>
      <c r="AQJ30" s="49"/>
      <c r="AQK30" s="49"/>
      <c r="AQL30" s="49"/>
      <c r="AQM30" s="49"/>
      <c r="AQN30" s="49"/>
      <c r="AQO30" s="49"/>
      <c r="AQP30" s="49"/>
      <c r="AQQ30" s="49"/>
      <c r="AQR30" s="49"/>
      <c r="AQS30" s="49"/>
      <c r="AQT30" s="49"/>
      <c r="AQU30" s="49"/>
      <c r="AQV30" s="49"/>
      <c r="AQW30" s="49"/>
      <c r="AQX30" s="49"/>
      <c r="AQY30" s="49"/>
      <c r="AQZ30" s="49"/>
      <c r="ARA30" s="49"/>
      <c r="ARB30" s="49"/>
      <c r="ARC30" s="49"/>
      <c r="ARD30" s="49"/>
      <c r="ARE30" s="49"/>
      <c r="ARF30" s="49"/>
      <c r="ARG30" s="49"/>
      <c r="ARH30" s="49"/>
      <c r="ARI30" s="49"/>
      <c r="ARJ30" s="49"/>
      <c r="ARK30" s="49"/>
      <c r="ARL30" s="49"/>
      <c r="ARM30" s="49"/>
      <c r="ARN30" s="49"/>
      <c r="ARO30" s="49"/>
      <c r="ARP30" s="49"/>
      <c r="ARQ30" s="49"/>
      <c r="ARR30" s="49"/>
      <c r="ARS30" s="49"/>
      <c r="ART30" s="49"/>
      <c r="ARU30" s="49"/>
      <c r="ARV30" s="49"/>
      <c r="ARW30" s="49"/>
      <c r="ARX30" s="49"/>
      <c r="ARY30" s="49"/>
      <c r="ARZ30" s="49"/>
      <c r="ASA30" s="49"/>
      <c r="ASB30" s="49"/>
      <c r="ASC30" s="49"/>
      <c r="ASD30" s="49"/>
      <c r="ASE30" s="49"/>
      <c r="ASF30" s="49"/>
      <c r="ASG30" s="49"/>
      <c r="ASH30" s="49"/>
      <c r="ASI30" s="49"/>
      <c r="ASJ30" s="49"/>
      <c r="ASK30" s="49"/>
      <c r="ASL30" s="49"/>
      <c r="ASM30" s="49"/>
      <c r="ASN30" s="49"/>
      <c r="ASO30" s="49"/>
      <c r="ASP30" s="49"/>
      <c r="ASQ30" s="49"/>
      <c r="ASR30" s="49"/>
      <c r="ASS30" s="49"/>
      <c r="AST30" s="49"/>
      <c r="ASU30" s="49"/>
      <c r="ASV30" s="49"/>
      <c r="ASW30" s="49"/>
      <c r="ASX30" s="49"/>
      <c r="ASY30" s="49"/>
      <c r="ASZ30" s="49"/>
      <c r="ATA30" s="49"/>
      <c r="ATB30" s="49"/>
      <c r="ATC30" s="49"/>
      <c r="ATD30" s="49"/>
      <c r="ATE30" s="49"/>
      <c r="ATF30" s="49"/>
      <c r="ATG30" s="49"/>
      <c r="ATH30" s="49"/>
      <c r="ATI30" s="49"/>
      <c r="ATJ30" s="49"/>
      <c r="ATK30" s="49"/>
      <c r="ATL30" s="49"/>
      <c r="ATM30" s="49"/>
      <c r="ATN30" s="49"/>
      <c r="ATO30" s="49"/>
      <c r="ATP30" s="49"/>
      <c r="ATQ30" s="49"/>
      <c r="ATR30" s="49"/>
      <c r="ATS30" s="49"/>
      <c r="ATT30" s="49"/>
      <c r="ATU30" s="49"/>
      <c r="ATV30" s="49"/>
      <c r="ATW30" s="49"/>
      <c r="ATX30" s="49"/>
      <c r="ATY30" s="49"/>
      <c r="ATZ30" s="49"/>
      <c r="AUA30" s="49"/>
      <c r="AUB30" s="49"/>
      <c r="AUC30" s="49"/>
      <c r="AUD30" s="49"/>
      <c r="AUE30" s="49"/>
      <c r="AUF30" s="49"/>
      <c r="AUG30" s="49"/>
      <c r="AUH30" s="49"/>
      <c r="AUI30" s="49"/>
      <c r="AUJ30" s="49"/>
      <c r="AUK30" s="49"/>
      <c r="AUL30" s="49"/>
      <c r="AUM30" s="49"/>
      <c r="AUN30" s="49"/>
      <c r="AUO30" s="49"/>
      <c r="AUP30" s="49"/>
      <c r="AUQ30" s="49"/>
      <c r="AUR30" s="49"/>
      <c r="AUS30" s="49"/>
      <c r="AUT30" s="49"/>
      <c r="AUU30" s="49"/>
      <c r="AUV30" s="49"/>
      <c r="AUW30" s="49"/>
      <c r="AUX30" s="49"/>
      <c r="AUY30" s="49"/>
      <c r="AUZ30" s="49"/>
      <c r="AVA30" s="49"/>
      <c r="AVB30" s="49"/>
      <c r="AVC30" s="49"/>
      <c r="AVD30" s="49"/>
      <c r="AVE30" s="49"/>
      <c r="AVF30" s="49"/>
      <c r="AVG30" s="49"/>
      <c r="AVH30" s="49"/>
      <c r="AVI30" s="49"/>
      <c r="AVJ30" s="49"/>
      <c r="AVK30" s="49"/>
      <c r="AVL30" s="49"/>
      <c r="AVM30" s="49"/>
      <c r="AVN30" s="49"/>
      <c r="AVO30" s="49"/>
      <c r="AVP30" s="49"/>
      <c r="AVQ30" s="49"/>
      <c r="AVR30" s="49"/>
      <c r="AVS30" s="49"/>
      <c r="AVT30" s="49"/>
      <c r="AVU30" s="49"/>
      <c r="AVV30" s="49"/>
      <c r="AVW30" s="49"/>
      <c r="AVX30" s="49"/>
      <c r="AVY30" s="49"/>
      <c r="AVZ30" s="49"/>
      <c r="AWA30" s="49"/>
      <c r="AWB30" s="49"/>
      <c r="AWC30" s="49"/>
      <c r="AWD30" s="49"/>
      <c r="AWE30" s="49"/>
      <c r="AWF30" s="49"/>
      <c r="AWG30" s="49"/>
      <c r="AWH30" s="49"/>
      <c r="AWI30" s="49"/>
      <c r="AWJ30" s="49"/>
      <c r="AWK30" s="49"/>
      <c r="AWL30" s="49"/>
      <c r="AWM30" s="49"/>
      <c r="AWN30" s="49"/>
      <c r="AWO30" s="49"/>
      <c r="AWP30" s="49"/>
      <c r="AWQ30" s="49"/>
      <c r="AWR30" s="49"/>
      <c r="AWS30" s="49"/>
      <c r="AWT30" s="49"/>
      <c r="AWU30" s="49"/>
      <c r="AWV30" s="49"/>
      <c r="AWW30" s="49"/>
      <c r="AWX30" s="49"/>
      <c r="AWY30" s="49"/>
      <c r="AWZ30" s="49"/>
      <c r="AXA30" s="49"/>
      <c r="AXB30" s="49"/>
      <c r="AXC30" s="49"/>
      <c r="AXD30" s="49"/>
      <c r="AXE30" s="49"/>
      <c r="AXF30" s="49"/>
      <c r="AXG30" s="49"/>
      <c r="AXH30" s="49"/>
      <c r="AXI30" s="49"/>
      <c r="AXJ30" s="49"/>
      <c r="AXK30" s="49"/>
      <c r="AXL30" s="49"/>
      <c r="AXM30" s="49"/>
      <c r="AXN30" s="49"/>
      <c r="AXO30" s="49"/>
      <c r="AXP30" s="49"/>
      <c r="AXQ30" s="49"/>
      <c r="AXR30" s="49"/>
      <c r="AXS30" s="49"/>
      <c r="AXT30" s="49"/>
      <c r="AXU30" s="49"/>
      <c r="AXV30" s="49"/>
      <c r="AXW30" s="49"/>
      <c r="AXX30" s="49"/>
      <c r="AXY30" s="49"/>
      <c r="AXZ30" s="49"/>
      <c r="AYA30" s="49"/>
      <c r="AYB30" s="49"/>
      <c r="AYC30" s="49"/>
      <c r="AYD30" s="49"/>
      <c r="AYE30" s="49"/>
      <c r="AYF30" s="49"/>
      <c r="AYG30" s="49"/>
      <c r="AYH30" s="49"/>
      <c r="AYI30" s="49"/>
      <c r="AYJ30" s="49"/>
      <c r="AYK30" s="49"/>
      <c r="AYL30" s="49"/>
      <c r="AYM30" s="49"/>
      <c r="AYN30" s="49"/>
      <c r="AYO30" s="49"/>
      <c r="AYP30" s="49"/>
      <c r="AYQ30" s="49"/>
      <c r="AYR30" s="49"/>
      <c r="AYS30" s="49"/>
      <c r="AYT30" s="49"/>
      <c r="AYU30" s="49"/>
      <c r="AYV30" s="49"/>
      <c r="AYW30" s="49"/>
      <c r="AYX30" s="49"/>
      <c r="AYY30" s="49"/>
      <c r="AYZ30" s="49"/>
      <c r="AZA30" s="49"/>
      <c r="AZB30" s="49"/>
      <c r="AZC30" s="49"/>
      <c r="AZD30" s="49"/>
      <c r="AZE30" s="49"/>
      <c r="AZF30" s="49"/>
      <c r="AZG30" s="49"/>
      <c r="AZH30" s="49"/>
      <c r="AZI30" s="49"/>
      <c r="AZJ30" s="49"/>
      <c r="AZK30" s="49"/>
      <c r="AZL30" s="49"/>
      <c r="AZM30" s="49"/>
      <c r="AZN30" s="49"/>
      <c r="AZO30" s="49"/>
      <c r="AZP30" s="49"/>
      <c r="AZQ30" s="49"/>
      <c r="AZR30" s="49"/>
      <c r="AZS30" s="49"/>
      <c r="AZT30" s="49"/>
      <c r="AZU30" s="49"/>
      <c r="AZV30" s="49"/>
      <c r="AZW30" s="49"/>
      <c r="AZX30" s="49"/>
      <c r="AZY30" s="49"/>
      <c r="AZZ30" s="49"/>
      <c r="BAA30" s="49"/>
      <c r="BAB30" s="49"/>
      <c r="BAC30" s="49"/>
      <c r="BAD30" s="49"/>
      <c r="BAE30" s="49"/>
      <c r="BAF30" s="49"/>
      <c r="BAG30" s="49"/>
      <c r="BAH30" s="49"/>
      <c r="BAI30" s="49"/>
      <c r="BAJ30" s="49"/>
      <c r="BAK30" s="49"/>
      <c r="BAL30" s="49"/>
      <c r="BAM30" s="49"/>
      <c r="BAN30" s="49"/>
      <c r="BAO30" s="49"/>
      <c r="BAP30" s="49"/>
      <c r="BAQ30" s="49"/>
      <c r="BAR30" s="49"/>
      <c r="BAS30" s="49"/>
      <c r="BAT30" s="49"/>
      <c r="BAU30" s="49"/>
      <c r="BAV30" s="49"/>
      <c r="BAW30" s="49"/>
      <c r="BAX30" s="49"/>
      <c r="BAY30" s="49"/>
      <c r="BAZ30" s="49"/>
      <c r="BBA30" s="49"/>
      <c r="BBB30" s="49"/>
      <c r="BBC30" s="49"/>
      <c r="BBD30" s="49"/>
      <c r="BBE30" s="49"/>
      <c r="BBF30" s="49"/>
      <c r="BBG30" s="49"/>
      <c r="BBH30" s="49"/>
      <c r="BBI30" s="49"/>
      <c r="BBJ30" s="49"/>
      <c r="BBK30" s="49"/>
      <c r="BBL30" s="49"/>
      <c r="BBM30" s="49"/>
      <c r="BBN30" s="49"/>
      <c r="BBO30" s="49"/>
      <c r="BBP30" s="49"/>
      <c r="BBQ30" s="49"/>
      <c r="BBR30" s="49"/>
      <c r="BBS30" s="49"/>
      <c r="BBT30" s="49"/>
      <c r="BBU30" s="49"/>
      <c r="BBV30" s="49"/>
      <c r="BBW30" s="49"/>
      <c r="BBX30" s="49"/>
      <c r="BBY30" s="49"/>
      <c r="BBZ30" s="49"/>
      <c r="BCA30" s="49"/>
      <c r="BCB30" s="49"/>
      <c r="BCC30" s="49"/>
      <c r="BCD30" s="49"/>
      <c r="BCE30" s="49"/>
      <c r="BCF30" s="49"/>
      <c r="BCG30" s="49"/>
      <c r="BCH30" s="49"/>
      <c r="BCI30" s="49"/>
      <c r="BCJ30" s="49"/>
      <c r="BCK30" s="49"/>
      <c r="BCL30" s="49"/>
      <c r="BCM30" s="49"/>
      <c r="BCN30" s="49"/>
      <c r="BCO30" s="49"/>
      <c r="BCP30" s="49"/>
      <c r="BCQ30" s="49"/>
      <c r="BCR30" s="49"/>
      <c r="BCS30" s="49"/>
      <c r="BCT30" s="49"/>
      <c r="BCU30" s="49"/>
      <c r="BCV30" s="49"/>
      <c r="BCW30" s="49"/>
      <c r="BCX30" s="49"/>
      <c r="BCY30" s="49"/>
      <c r="BCZ30" s="49"/>
      <c r="BDA30" s="49"/>
      <c r="BDB30" s="49"/>
      <c r="BDC30" s="49"/>
      <c r="BDD30" s="49"/>
      <c r="BDE30" s="49"/>
      <c r="BDF30" s="49"/>
      <c r="BDG30" s="49"/>
      <c r="BDH30" s="49"/>
      <c r="BDI30" s="49"/>
      <c r="BDJ30" s="49"/>
      <c r="BDK30" s="49"/>
      <c r="BDL30" s="49"/>
      <c r="BDM30" s="49"/>
      <c r="BDN30" s="49"/>
      <c r="BDO30" s="49"/>
      <c r="BDP30" s="49"/>
      <c r="BDQ30" s="49"/>
      <c r="BDR30" s="49"/>
      <c r="BDS30" s="49"/>
      <c r="BDT30" s="49"/>
      <c r="BDU30" s="49"/>
      <c r="BDV30" s="49"/>
      <c r="BDW30" s="49"/>
      <c r="BDX30" s="49"/>
      <c r="BDY30" s="49"/>
      <c r="BDZ30" s="49"/>
      <c r="BEA30" s="49"/>
      <c r="BEB30" s="49"/>
      <c r="BEC30" s="49"/>
      <c r="BED30" s="49"/>
      <c r="BEE30" s="49"/>
      <c r="BEF30" s="49"/>
      <c r="BEG30" s="49"/>
      <c r="BEH30" s="49"/>
      <c r="BEI30" s="49"/>
      <c r="BEJ30" s="49"/>
      <c r="BEK30" s="49"/>
      <c r="BEL30" s="49"/>
      <c r="BEM30" s="49"/>
      <c r="BEN30" s="49"/>
      <c r="BEO30" s="49"/>
      <c r="BEP30" s="49"/>
      <c r="BEQ30" s="49"/>
      <c r="BER30" s="49"/>
      <c r="BES30" s="49"/>
      <c r="BET30" s="49"/>
      <c r="BEU30" s="49"/>
      <c r="BEV30" s="49"/>
      <c r="BEW30" s="49"/>
      <c r="BEX30" s="49"/>
      <c r="BEY30" s="49"/>
      <c r="BEZ30" s="49"/>
      <c r="BFA30" s="49"/>
      <c r="BFB30" s="49"/>
      <c r="BFC30" s="49"/>
      <c r="BFD30" s="49"/>
      <c r="BFE30" s="49"/>
      <c r="BFF30" s="49"/>
      <c r="BFG30" s="49"/>
      <c r="BFH30" s="49"/>
      <c r="BFI30" s="49"/>
      <c r="BFJ30" s="49"/>
      <c r="BFK30" s="49"/>
      <c r="BFL30" s="49"/>
      <c r="BFM30" s="49"/>
      <c r="BFN30" s="49"/>
      <c r="BFO30" s="49"/>
      <c r="BFP30" s="49"/>
      <c r="BFQ30" s="49"/>
      <c r="BFR30" s="49"/>
      <c r="BFS30" s="49"/>
      <c r="BFT30" s="49"/>
      <c r="BFU30" s="49"/>
      <c r="BFV30" s="49"/>
      <c r="BFW30" s="49"/>
      <c r="BFX30" s="49"/>
      <c r="BFY30" s="49"/>
      <c r="BFZ30" s="49"/>
      <c r="BGA30" s="49"/>
      <c r="BGB30" s="49"/>
      <c r="BGC30" s="49"/>
      <c r="BGD30" s="49"/>
      <c r="BGE30" s="49"/>
      <c r="BGF30" s="49"/>
      <c r="BGG30" s="49"/>
      <c r="BGH30" s="49"/>
      <c r="BGI30" s="49"/>
      <c r="BGJ30" s="49"/>
      <c r="BGK30" s="49"/>
      <c r="BGL30" s="49"/>
      <c r="BGM30" s="49"/>
      <c r="BGN30" s="49"/>
      <c r="BGO30" s="49"/>
      <c r="BGP30" s="49"/>
      <c r="BGQ30" s="49"/>
      <c r="BGR30" s="49"/>
      <c r="BGS30" s="49"/>
      <c r="BGT30" s="49"/>
      <c r="BGU30" s="49"/>
      <c r="BGV30" s="49"/>
      <c r="BGW30" s="49"/>
      <c r="BGX30" s="49"/>
      <c r="BGY30" s="49"/>
      <c r="BGZ30" s="49"/>
      <c r="BHA30" s="49"/>
      <c r="BHB30" s="49"/>
      <c r="BHC30" s="49"/>
      <c r="BHD30" s="49"/>
      <c r="BHE30" s="49"/>
      <c r="BHF30" s="49"/>
      <c r="BHG30" s="49"/>
      <c r="BHH30" s="49"/>
      <c r="BHI30" s="49"/>
      <c r="BHJ30" s="49"/>
      <c r="BHK30" s="49"/>
      <c r="BHL30" s="49"/>
      <c r="BHM30" s="49"/>
      <c r="BHN30" s="49"/>
      <c r="BHO30" s="49"/>
      <c r="BHP30" s="49"/>
      <c r="BHQ30" s="49"/>
      <c r="BHR30" s="49"/>
      <c r="BHS30" s="49"/>
      <c r="BHT30" s="49"/>
      <c r="BHU30" s="49"/>
      <c r="BHV30" s="49"/>
      <c r="BHW30" s="49"/>
      <c r="BHX30" s="49"/>
      <c r="BHY30" s="49"/>
      <c r="BHZ30" s="49"/>
      <c r="BIA30" s="49"/>
      <c r="BIB30" s="49"/>
      <c r="BIC30" s="49"/>
      <c r="BID30" s="49"/>
      <c r="BIE30" s="49"/>
      <c r="BIF30" s="49"/>
      <c r="BIG30" s="49"/>
      <c r="BIH30" s="49"/>
      <c r="BII30" s="49"/>
      <c r="BIJ30" s="49"/>
      <c r="BIK30" s="49"/>
      <c r="BIL30" s="49"/>
      <c r="BIM30" s="49"/>
      <c r="BIN30" s="49"/>
      <c r="BIO30" s="49"/>
      <c r="BIP30" s="49"/>
      <c r="BIQ30" s="49"/>
      <c r="BIR30" s="49"/>
      <c r="BIS30" s="49"/>
      <c r="BIT30" s="49"/>
      <c r="BIU30" s="49"/>
      <c r="BIV30" s="49"/>
      <c r="BIW30" s="49"/>
      <c r="BIX30" s="49"/>
      <c r="BIY30" s="49"/>
      <c r="BIZ30" s="49"/>
      <c r="BJA30" s="49"/>
      <c r="BJB30" s="49"/>
      <c r="BJC30" s="49"/>
      <c r="BJD30" s="49"/>
      <c r="BJE30" s="49"/>
      <c r="BJF30" s="49"/>
      <c r="BJG30" s="49"/>
      <c r="BJH30" s="49"/>
      <c r="BJI30" s="49"/>
      <c r="BJJ30" s="49"/>
      <c r="BJK30" s="49"/>
      <c r="BJL30" s="49"/>
      <c r="BJM30" s="49"/>
      <c r="BJN30" s="49"/>
      <c r="BJO30" s="49"/>
      <c r="BJP30" s="49"/>
      <c r="BJQ30" s="49"/>
      <c r="BJR30" s="49"/>
      <c r="BJS30" s="49"/>
      <c r="BJT30" s="49"/>
      <c r="BJU30" s="49"/>
      <c r="BJV30" s="49"/>
      <c r="BJW30" s="49"/>
      <c r="BJX30" s="49"/>
      <c r="BJY30" s="49"/>
      <c r="BJZ30" s="49"/>
      <c r="BKA30" s="49"/>
      <c r="BKB30" s="49"/>
      <c r="BKC30" s="49"/>
      <c r="BKD30" s="49"/>
      <c r="BKE30" s="49"/>
      <c r="BKF30" s="49"/>
      <c r="BKG30" s="49"/>
      <c r="BKH30" s="49"/>
      <c r="BKI30" s="49"/>
      <c r="BKJ30" s="49"/>
      <c r="BKK30" s="49"/>
      <c r="BKL30" s="49"/>
      <c r="BKM30" s="49"/>
      <c r="BKN30" s="49"/>
      <c r="BKO30" s="49"/>
      <c r="BKP30" s="49"/>
      <c r="BKQ30" s="49"/>
      <c r="BKR30" s="49"/>
      <c r="BKS30" s="49"/>
      <c r="BKT30" s="49"/>
      <c r="BKU30" s="49"/>
      <c r="BKV30" s="49"/>
      <c r="BKW30" s="49"/>
      <c r="BKX30" s="49"/>
      <c r="BKY30" s="49"/>
      <c r="BKZ30" s="49"/>
      <c r="BLA30" s="49"/>
      <c r="BLB30" s="49"/>
      <c r="BLC30" s="49"/>
      <c r="BLD30" s="49"/>
      <c r="BLE30" s="49"/>
      <c r="BLF30" s="49"/>
      <c r="BLG30" s="49"/>
      <c r="BLH30" s="49"/>
      <c r="BLI30" s="49"/>
      <c r="BLJ30" s="49"/>
      <c r="BLK30" s="49"/>
      <c r="BLL30" s="49"/>
      <c r="BLM30" s="49"/>
      <c r="BLN30" s="49"/>
      <c r="BLO30" s="49"/>
      <c r="BLP30" s="49"/>
      <c r="BLQ30" s="49"/>
      <c r="BLR30" s="49"/>
      <c r="BLS30" s="49"/>
      <c r="BLT30" s="49"/>
      <c r="BLU30" s="49"/>
      <c r="BLV30" s="49"/>
      <c r="BLW30" s="49"/>
      <c r="BLX30" s="49"/>
      <c r="BLY30" s="49"/>
      <c r="BLZ30" s="49"/>
      <c r="BMA30" s="49"/>
      <c r="BMB30" s="49"/>
      <c r="BMC30" s="49"/>
      <c r="BMD30" s="49"/>
      <c r="BME30" s="49"/>
      <c r="BMF30" s="49"/>
      <c r="BMG30" s="49"/>
      <c r="BMH30" s="49"/>
      <c r="BMI30" s="49"/>
      <c r="BMJ30" s="49"/>
      <c r="BMK30" s="49"/>
      <c r="BML30" s="49"/>
      <c r="BMM30" s="49"/>
      <c r="BMN30" s="49"/>
      <c r="BMO30" s="49"/>
      <c r="BMP30" s="49"/>
      <c r="BMQ30" s="49"/>
      <c r="BMR30" s="49"/>
      <c r="BMS30" s="49"/>
      <c r="BMT30" s="49"/>
      <c r="BMU30" s="49"/>
      <c r="BMV30" s="49"/>
      <c r="BMW30" s="49"/>
      <c r="BMX30" s="49"/>
      <c r="BMY30" s="49"/>
      <c r="BMZ30" s="49"/>
      <c r="BNA30" s="49"/>
      <c r="BNB30" s="49"/>
      <c r="BNC30" s="49"/>
      <c r="BND30" s="49"/>
      <c r="BNE30" s="49"/>
      <c r="BNF30" s="49"/>
      <c r="BNG30" s="49"/>
      <c r="BNH30" s="49"/>
      <c r="BNI30" s="49"/>
      <c r="BNJ30" s="49"/>
      <c r="BNK30" s="49"/>
      <c r="BNL30" s="49"/>
      <c r="BNM30" s="49"/>
      <c r="BNN30" s="49"/>
      <c r="BNO30" s="49"/>
      <c r="BNP30" s="49"/>
      <c r="BNQ30" s="49"/>
      <c r="BNR30" s="49"/>
      <c r="BNS30" s="49"/>
      <c r="BNT30" s="49"/>
      <c r="BNU30" s="49"/>
      <c r="BNV30" s="49"/>
      <c r="BNW30" s="49"/>
      <c r="BNX30" s="49"/>
      <c r="BNY30" s="49"/>
      <c r="BNZ30" s="49"/>
      <c r="BOA30" s="49"/>
      <c r="BOB30" s="49"/>
      <c r="BOC30" s="49"/>
      <c r="BOD30" s="49"/>
      <c r="BOE30" s="49"/>
      <c r="BOF30" s="49"/>
      <c r="BOG30" s="49"/>
      <c r="BOH30" s="49"/>
      <c r="BOI30" s="49"/>
      <c r="BOJ30" s="49"/>
      <c r="BOK30" s="49"/>
      <c r="BOL30" s="49"/>
      <c r="BOM30" s="49"/>
      <c r="BON30" s="49"/>
      <c r="BOO30" s="49"/>
      <c r="BOP30" s="49"/>
      <c r="BOQ30" s="49"/>
      <c r="BOR30" s="49"/>
      <c r="BOS30" s="49"/>
      <c r="BOT30" s="49"/>
      <c r="BOU30" s="49"/>
      <c r="BOV30" s="49"/>
      <c r="BOW30" s="49"/>
      <c r="BOX30" s="49"/>
      <c r="BOY30" s="49"/>
      <c r="BOZ30" s="49"/>
      <c r="BPA30" s="49"/>
      <c r="BPB30" s="49"/>
      <c r="BPC30" s="49"/>
      <c r="BPD30" s="49"/>
      <c r="BPE30" s="49"/>
      <c r="BPF30" s="49"/>
      <c r="BPG30" s="49"/>
      <c r="BPH30" s="49"/>
      <c r="BPI30" s="49"/>
      <c r="BPJ30" s="49"/>
      <c r="BPK30" s="49"/>
      <c r="BPL30" s="49"/>
      <c r="BPM30" s="49"/>
      <c r="BPN30" s="49"/>
      <c r="BPO30" s="49"/>
      <c r="BPP30" s="49"/>
      <c r="BPQ30" s="49"/>
      <c r="BPR30" s="49"/>
      <c r="BPS30" s="49"/>
      <c r="BPT30" s="49"/>
      <c r="BPU30" s="49"/>
      <c r="BPV30" s="49"/>
      <c r="BPW30" s="49"/>
      <c r="BPX30" s="49"/>
      <c r="BPY30" s="49"/>
      <c r="BPZ30" s="49"/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  <c r="WEZ30" s="49"/>
      <c r="WFA30" s="49"/>
      <c r="WFB30" s="49"/>
      <c r="WFC30" s="49"/>
      <c r="WFD30" s="49"/>
      <c r="WFE30" s="49"/>
      <c r="WFF30" s="49"/>
      <c r="WFG30" s="49"/>
      <c r="WFH30" s="49"/>
      <c r="WFI30" s="49"/>
      <c r="WFJ30" s="49"/>
      <c r="WFK30" s="49"/>
      <c r="WFL30" s="49"/>
      <c r="WFM30" s="49"/>
      <c r="WFN30" s="49"/>
      <c r="WFO30" s="49"/>
      <c r="WFP30" s="49"/>
      <c r="WFQ30" s="49"/>
      <c r="WFR30" s="49"/>
      <c r="WFS30" s="49"/>
      <c r="WFT30" s="49"/>
      <c r="WFU30" s="49"/>
      <c r="WFV30" s="49"/>
      <c r="WFW30" s="49"/>
      <c r="WFX30" s="49"/>
      <c r="WFY30" s="49"/>
      <c r="WFZ30" s="49"/>
      <c r="WGA30" s="49"/>
      <c r="WGB30" s="49"/>
      <c r="WGC30" s="49"/>
      <c r="WGD30" s="49"/>
      <c r="WGE30" s="49"/>
      <c r="WGF30" s="49"/>
      <c r="WGG30" s="49"/>
      <c r="WGH30" s="49"/>
      <c r="WGI30" s="49"/>
      <c r="WGJ30" s="49"/>
      <c r="WGK30" s="49"/>
      <c r="WGL30" s="49"/>
      <c r="WGM30" s="49"/>
      <c r="WGN30" s="49"/>
      <c r="WGO30" s="49"/>
      <c r="WGP30" s="49"/>
      <c r="WGQ30" s="49"/>
      <c r="WGR30" s="49"/>
      <c r="WGS30" s="49"/>
      <c r="WGT30" s="49"/>
      <c r="WGU30" s="49"/>
      <c r="WGV30" s="49"/>
      <c r="WGW30" s="49"/>
      <c r="WGX30" s="49"/>
      <c r="WGY30" s="49"/>
      <c r="WGZ30" s="49"/>
      <c r="WHA30" s="49"/>
      <c r="WHB30" s="49"/>
      <c r="WHC30" s="49"/>
      <c r="WHD30" s="49"/>
      <c r="WHE30" s="49"/>
      <c r="WHF30" s="49"/>
      <c r="WHG30" s="49"/>
      <c r="WHH30" s="49"/>
      <c r="WHI30" s="49"/>
      <c r="WHJ30" s="49"/>
      <c r="WHK30" s="49"/>
      <c r="WHL30" s="49"/>
      <c r="WHM30" s="49"/>
      <c r="WHN30" s="49"/>
      <c r="WHO30" s="49"/>
      <c r="WHP30" s="49"/>
      <c r="WHQ30" s="49"/>
      <c r="WHR30" s="49"/>
      <c r="WHS30" s="49"/>
      <c r="WHT30" s="49"/>
      <c r="WHU30" s="49"/>
      <c r="WHV30" s="49"/>
      <c r="WHW30" s="49"/>
      <c r="WHX30" s="49"/>
      <c r="WHY30" s="49"/>
      <c r="WHZ30" s="49"/>
      <c r="WIA30" s="49"/>
      <c r="WIB30" s="49"/>
      <c r="WIC30" s="49"/>
      <c r="WID30" s="49"/>
      <c r="WIE30" s="49"/>
      <c r="WIF30" s="49"/>
      <c r="WIG30" s="49"/>
      <c r="WIH30" s="49"/>
      <c r="WII30" s="49"/>
      <c r="WIJ30" s="49"/>
      <c r="WIK30" s="49"/>
      <c r="WIL30" s="49"/>
      <c r="WIM30" s="49"/>
      <c r="WIN30" s="49"/>
      <c r="WIO30" s="49"/>
      <c r="WIP30" s="49"/>
      <c r="WIQ30" s="49"/>
      <c r="WIR30" s="49"/>
      <c r="WIS30" s="49"/>
      <c r="WIT30" s="49"/>
      <c r="WIU30" s="49"/>
      <c r="WIV30" s="49"/>
      <c r="WIW30" s="49"/>
      <c r="WIX30" s="49"/>
      <c r="WIY30" s="49"/>
      <c r="WIZ30" s="49"/>
      <c r="WJA30" s="49"/>
      <c r="WJB30" s="49"/>
      <c r="WJC30" s="49"/>
      <c r="WJD30" s="49"/>
      <c r="WJE30" s="49"/>
      <c r="WJF30" s="49"/>
      <c r="WJG30" s="49"/>
      <c r="WJH30" s="49"/>
      <c r="WJI30" s="49"/>
      <c r="WJJ30" s="49"/>
      <c r="WJK30" s="49"/>
      <c r="WJL30" s="49"/>
      <c r="WJM30" s="49"/>
      <c r="WJN30" s="49"/>
      <c r="WJO30" s="49"/>
      <c r="WJP30" s="49"/>
      <c r="WJQ30" s="49"/>
      <c r="WJR30" s="49"/>
      <c r="WJS30" s="49"/>
      <c r="WJT30" s="49"/>
      <c r="WJU30" s="49"/>
      <c r="WJV30" s="49"/>
      <c r="WJW30" s="49"/>
      <c r="WJX30" s="49"/>
      <c r="WJY30" s="49"/>
      <c r="WJZ30" s="49"/>
      <c r="WKA30" s="49"/>
      <c r="WKB30" s="49"/>
      <c r="WKC30" s="49"/>
      <c r="WKD30" s="49"/>
      <c r="WKE30" s="49"/>
      <c r="WKF30" s="49"/>
      <c r="WKG30" s="49"/>
      <c r="WKH30" s="49"/>
      <c r="WKI30" s="49"/>
      <c r="WKJ30" s="49"/>
      <c r="WKK30" s="49"/>
      <c r="WKL30" s="49"/>
      <c r="WKM30" s="49"/>
      <c r="WKN30" s="49"/>
      <c r="WKO30" s="49"/>
      <c r="WKP30" s="49"/>
      <c r="WKQ30" s="49"/>
      <c r="WKR30" s="49"/>
      <c r="WKS30" s="49"/>
      <c r="WKT30" s="49"/>
      <c r="WKU30" s="49"/>
      <c r="WKV30" s="49"/>
      <c r="WKW30" s="49"/>
      <c r="WKX30" s="49"/>
      <c r="WKY30" s="49"/>
      <c r="WKZ30" s="49"/>
      <c r="WLA30" s="49"/>
      <c r="WLB30" s="49"/>
      <c r="WLC30" s="49"/>
      <c r="WLD30" s="49"/>
      <c r="WLE30" s="49"/>
      <c r="WLF30" s="49"/>
      <c r="WLG30" s="49"/>
      <c r="WLH30" s="49"/>
      <c r="WLI30" s="49"/>
      <c r="WLJ30" s="49"/>
      <c r="WLK30" s="49"/>
      <c r="WLL30" s="49"/>
      <c r="WLM30" s="49"/>
      <c r="WLN30" s="49"/>
      <c r="WLO30" s="49"/>
      <c r="WLP30" s="49"/>
      <c r="WLQ30" s="49"/>
      <c r="WLR30" s="49"/>
      <c r="WLS30" s="49"/>
      <c r="WLT30" s="49"/>
      <c r="WLU30" s="49"/>
      <c r="WLV30" s="49"/>
      <c r="WLW30" s="49"/>
      <c r="WLX30" s="49"/>
      <c r="WLY30" s="49"/>
      <c r="WLZ30" s="49"/>
      <c r="WMA30" s="49"/>
      <c r="WMB30" s="49"/>
      <c r="WMC30" s="49"/>
      <c r="WMD30" s="49"/>
      <c r="WME30" s="49"/>
      <c r="WMF30" s="49"/>
      <c r="WMG30" s="49"/>
      <c r="WMH30" s="49"/>
      <c r="WMI30" s="49"/>
      <c r="WMJ30" s="49"/>
      <c r="WMK30" s="49"/>
      <c r="WML30" s="49"/>
      <c r="WMM30" s="49"/>
      <c r="WMN30" s="49"/>
      <c r="WMO30" s="49"/>
      <c r="WMP30" s="49"/>
      <c r="WMQ30" s="49"/>
      <c r="WMR30" s="49"/>
      <c r="WMS30" s="49"/>
      <c r="WMT30" s="49"/>
      <c r="WMU30" s="49"/>
      <c r="WMV30" s="49"/>
      <c r="WMW30" s="49"/>
      <c r="WMX30" s="49"/>
      <c r="WMY30" s="49"/>
      <c r="WMZ30" s="49"/>
      <c r="WNA30" s="49"/>
      <c r="WNB30" s="49"/>
      <c r="WNC30" s="49"/>
      <c r="WND30" s="49"/>
      <c r="WNE30" s="49"/>
      <c r="WNF30" s="49"/>
      <c r="WNG30" s="49"/>
      <c r="WNH30" s="49"/>
      <c r="WNI30" s="49"/>
      <c r="WNJ30" s="49"/>
      <c r="WNK30" s="49"/>
      <c r="WNL30" s="49"/>
      <c r="WNM30" s="49"/>
      <c r="WNN30" s="49"/>
      <c r="WNO30" s="49"/>
      <c r="WNP30" s="49"/>
      <c r="WNQ30" s="49"/>
      <c r="WNR30" s="49"/>
      <c r="WNS30" s="49"/>
      <c r="WNT30" s="49"/>
      <c r="WNU30" s="49"/>
      <c r="WNV30" s="49"/>
      <c r="WNW30" s="49"/>
      <c r="WNX30" s="49"/>
      <c r="WNY30" s="49"/>
      <c r="WNZ30" s="49"/>
      <c r="WOA30" s="49"/>
      <c r="WOB30" s="49"/>
      <c r="WOC30" s="49"/>
      <c r="WOD30" s="49"/>
      <c r="WOE30" s="49"/>
      <c r="WOF30" s="49"/>
      <c r="WOG30" s="49"/>
      <c r="WOH30" s="49"/>
      <c r="WOI30" s="49"/>
      <c r="WOJ30" s="49"/>
      <c r="WOK30" s="49"/>
      <c r="WOL30" s="49"/>
      <c r="WOM30" s="49"/>
      <c r="WON30" s="49"/>
      <c r="WOO30" s="49"/>
      <c r="WOP30" s="49"/>
      <c r="WOQ30" s="49"/>
      <c r="WOR30" s="49"/>
      <c r="WOS30" s="49"/>
      <c r="WOT30" s="49"/>
      <c r="WOU30" s="49"/>
      <c r="WOV30" s="49"/>
      <c r="WOW30" s="49"/>
      <c r="WOX30" s="49"/>
      <c r="WOY30" s="49"/>
      <c r="WOZ30" s="49"/>
      <c r="WPA30" s="49"/>
      <c r="WPB30" s="49"/>
      <c r="WPC30" s="49"/>
      <c r="WPD30" s="49"/>
      <c r="WPE30" s="49"/>
      <c r="WPF30" s="49"/>
      <c r="WPG30" s="49"/>
      <c r="WPH30" s="49"/>
      <c r="WPI30" s="49"/>
      <c r="WPJ30" s="49"/>
      <c r="WPK30" s="49"/>
      <c r="WPL30" s="49"/>
      <c r="WPM30" s="49"/>
      <c r="WPN30" s="49"/>
      <c r="WPO30" s="49"/>
      <c r="WPP30" s="49"/>
      <c r="WPQ30" s="49"/>
      <c r="WPR30" s="49"/>
      <c r="WPS30" s="49"/>
      <c r="WPT30" s="49"/>
      <c r="WPU30" s="49"/>
      <c r="WPV30" s="49"/>
      <c r="WPW30" s="49"/>
      <c r="WPX30" s="49"/>
      <c r="WPY30" s="49"/>
      <c r="WPZ30" s="49"/>
      <c r="WQA30" s="49"/>
      <c r="WQB30" s="49"/>
      <c r="WQC30" s="49"/>
      <c r="WQD30" s="49"/>
      <c r="WQE30" s="49"/>
      <c r="WQF30" s="49"/>
      <c r="WQG30" s="49"/>
      <c r="WQH30" s="49"/>
      <c r="WQI30" s="49"/>
      <c r="WQJ30" s="49"/>
      <c r="WQK30" s="49"/>
      <c r="WQL30" s="49"/>
      <c r="WQM30" s="49"/>
      <c r="WQN30" s="49"/>
      <c r="WQO30" s="49"/>
      <c r="WQP30" s="49"/>
      <c r="WQQ30" s="49"/>
      <c r="WQR30" s="49"/>
      <c r="WQS30" s="49"/>
      <c r="WQT30" s="49"/>
      <c r="WQU30" s="49"/>
      <c r="WQV30" s="49"/>
      <c r="WQW30" s="49"/>
      <c r="WQX30" s="49"/>
      <c r="WQY30" s="49"/>
      <c r="WQZ30" s="49"/>
      <c r="WRA30" s="49"/>
      <c r="WRB30" s="49"/>
      <c r="WRC30" s="49"/>
      <c r="WRD30" s="49"/>
      <c r="WRE30" s="49"/>
      <c r="WRF30" s="49"/>
      <c r="WRG30" s="49"/>
      <c r="WRH30" s="49"/>
      <c r="WRI30" s="49"/>
      <c r="WRJ30" s="49"/>
      <c r="WRK30" s="49"/>
      <c r="WRL30" s="49"/>
      <c r="WRM30" s="49"/>
      <c r="WRN30" s="49"/>
      <c r="WRO30" s="49"/>
      <c r="WRP30" s="49"/>
      <c r="WRQ30" s="49"/>
      <c r="WRR30" s="49"/>
      <c r="WRS30" s="49"/>
      <c r="WRT30" s="49"/>
      <c r="WRU30" s="49"/>
      <c r="WRV30" s="49"/>
      <c r="WRW30" s="49"/>
      <c r="WRX30" s="49"/>
      <c r="WRY30" s="49"/>
      <c r="WRZ30" s="49"/>
      <c r="WSA30" s="49"/>
      <c r="WSB30" s="49"/>
      <c r="WSC30" s="49"/>
      <c r="WSD30" s="49"/>
      <c r="WSE30" s="49"/>
      <c r="WSF30" s="49"/>
      <c r="WSG30" s="49"/>
      <c r="WSH30" s="49"/>
      <c r="WSI30" s="49"/>
      <c r="WSJ30" s="49"/>
      <c r="WSK30" s="49"/>
      <c r="WSL30" s="49"/>
      <c r="WSM30" s="49"/>
      <c r="WSN30" s="49"/>
      <c r="WSO30" s="49"/>
      <c r="WSP30" s="49"/>
      <c r="WSQ30" s="49"/>
      <c r="WSR30" s="49"/>
      <c r="WSS30" s="49"/>
      <c r="WST30" s="49"/>
      <c r="WSU30" s="49"/>
      <c r="WSV30" s="49"/>
      <c r="WSW30" s="49"/>
      <c r="WSX30" s="49"/>
      <c r="WSY30" s="49"/>
      <c r="WSZ30" s="49"/>
      <c r="WTA30" s="49"/>
      <c r="WTB30" s="49"/>
      <c r="WTC30" s="49"/>
      <c r="WTD30" s="49"/>
      <c r="WTE30" s="49"/>
      <c r="WTF30" s="49"/>
      <c r="WTG30" s="49"/>
      <c r="WTH30" s="49"/>
      <c r="WTI30" s="49"/>
      <c r="WTJ30" s="49"/>
      <c r="WTK30" s="49"/>
      <c r="WTL30" s="49"/>
      <c r="WTM30" s="49"/>
      <c r="WTN30" s="49"/>
      <c r="WTO30" s="49"/>
      <c r="WTP30" s="49"/>
      <c r="WTQ30" s="49"/>
      <c r="WTR30" s="49"/>
      <c r="WTS30" s="49"/>
      <c r="WTT30" s="49"/>
      <c r="WTU30" s="49"/>
      <c r="WTV30" s="49"/>
      <c r="WTW30" s="49"/>
      <c r="WTX30" s="49"/>
      <c r="WTY30" s="49"/>
      <c r="WTZ30" s="49"/>
      <c r="WUA30" s="49"/>
      <c r="WUB30" s="49"/>
      <c r="WUC30" s="49"/>
      <c r="WUD30" s="49"/>
      <c r="WUE30" s="49"/>
      <c r="WUF30" s="49"/>
      <c r="WUG30" s="49"/>
      <c r="WUH30" s="49"/>
      <c r="WUI30" s="49"/>
      <c r="WUJ30" s="49"/>
      <c r="WUK30" s="49"/>
      <c r="WUL30" s="49"/>
      <c r="WUM30" s="49"/>
      <c r="WUN30" s="49"/>
      <c r="WUO30" s="49"/>
      <c r="WUP30" s="49"/>
      <c r="WUQ30" s="49"/>
      <c r="WUR30" s="49"/>
      <c r="WUS30" s="49"/>
      <c r="WUT30" s="49"/>
      <c r="WUU30" s="49"/>
      <c r="WUV30" s="49"/>
      <c r="WUW30" s="49"/>
      <c r="WUX30" s="49"/>
      <c r="WUY30" s="49"/>
      <c r="WUZ30" s="49"/>
      <c r="WVA30" s="49"/>
      <c r="WVB30" s="49"/>
      <c r="WVC30" s="49"/>
      <c r="WVD30" s="49"/>
      <c r="WVE30" s="49"/>
      <c r="WVF30" s="49"/>
      <c r="WVG30" s="49"/>
      <c r="WVH30" s="49"/>
      <c r="WVI30" s="49"/>
      <c r="WVJ30" s="49"/>
      <c r="WVK30" s="49"/>
      <c r="WVL30" s="49"/>
      <c r="WVM30" s="49"/>
      <c r="WVN30" s="49"/>
      <c r="WVO30" s="49"/>
      <c r="WVP30" s="49"/>
      <c r="WVQ30" s="49"/>
      <c r="WVR30" s="49"/>
      <c r="WVS30" s="49"/>
      <c r="WVT30" s="49"/>
      <c r="WVU30" s="49"/>
      <c r="WVV30" s="49"/>
      <c r="WVW30" s="49"/>
      <c r="WVX30" s="49"/>
      <c r="WVY30" s="49"/>
      <c r="WVZ30" s="49"/>
      <c r="WWA30" s="49"/>
      <c r="WWB30" s="49"/>
      <c r="WWC30" s="49"/>
      <c r="WWD30" s="49"/>
      <c r="WWE30" s="49"/>
      <c r="WWF30" s="49"/>
      <c r="WWG30" s="49"/>
      <c r="WWH30" s="49"/>
      <c r="WWI30" s="49"/>
      <c r="WWJ30" s="49"/>
      <c r="WWK30" s="49"/>
      <c r="WWL30" s="49"/>
      <c r="WWM30" s="49"/>
      <c r="WWN30" s="49"/>
      <c r="WWO30" s="49"/>
      <c r="WWP30" s="49"/>
      <c r="WWQ30" s="49"/>
      <c r="WWR30" s="49"/>
      <c r="WWS30" s="49"/>
      <c r="WWT30" s="49"/>
      <c r="WWU30" s="49"/>
      <c r="WWV30" s="49"/>
      <c r="WWW30" s="49"/>
      <c r="WWX30" s="49"/>
      <c r="WWY30" s="49"/>
      <c r="WWZ30" s="49"/>
      <c r="WXA30" s="49"/>
      <c r="WXB30" s="49"/>
      <c r="WXC30" s="49"/>
      <c r="WXD30" s="49"/>
      <c r="WXE30" s="49"/>
      <c r="WXF30" s="49"/>
      <c r="WXG30" s="49"/>
      <c r="WXH30" s="49"/>
      <c r="WXI30" s="49"/>
      <c r="WXJ30" s="49"/>
      <c r="WXK30" s="49"/>
      <c r="WXL30" s="49"/>
      <c r="WXM30" s="49"/>
      <c r="WXN30" s="49"/>
      <c r="WXO30" s="49"/>
      <c r="WXP30" s="49"/>
      <c r="WXQ30" s="49"/>
      <c r="WXR30" s="49"/>
      <c r="WXS30" s="49"/>
      <c r="WXT30" s="49"/>
      <c r="WXU30" s="49"/>
      <c r="WXV30" s="49"/>
      <c r="WXW30" s="49"/>
      <c r="WXX30" s="49"/>
      <c r="WXY30" s="49"/>
      <c r="WXZ30" s="49"/>
      <c r="WYA30" s="49"/>
      <c r="WYB30" s="49"/>
      <c r="WYC30" s="49"/>
      <c r="WYD30" s="49"/>
      <c r="WYE30" s="49"/>
      <c r="WYF30" s="49"/>
      <c r="WYG30" s="49"/>
      <c r="WYH30" s="49"/>
      <c r="WYI30" s="49"/>
      <c r="WYJ30" s="49"/>
      <c r="WYK30" s="49"/>
      <c r="WYL30" s="49"/>
      <c r="WYM30" s="49"/>
      <c r="WYN30" s="49"/>
      <c r="WYO30" s="49"/>
      <c r="WYP30" s="49"/>
      <c r="WYQ30" s="49"/>
      <c r="WYR30" s="49"/>
      <c r="WYS30" s="49"/>
      <c r="WYT30" s="49"/>
      <c r="WYU30" s="49"/>
      <c r="WYV30" s="49"/>
      <c r="WYW30" s="49"/>
      <c r="WYX30" s="49"/>
      <c r="WYY30" s="49"/>
      <c r="WYZ30" s="49"/>
      <c r="WZA30" s="49"/>
      <c r="WZB30" s="49"/>
      <c r="WZC30" s="49"/>
      <c r="WZD30" s="49"/>
      <c r="WZE30" s="49"/>
      <c r="WZF30" s="49"/>
      <c r="WZG30" s="49"/>
      <c r="WZH30" s="49"/>
      <c r="WZI30" s="49"/>
      <c r="WZJ30" s="49"/>
      <c r="WZK30" s="49"/>
      <c r="WZL30" s="49"/>
      <c r="WZM30" s="49"/>
      <c r="WZN30" s="49"/>
      <c r="WZO30" s="49"/>
      <c r="WZP30" s="49"/>
      <c r="WZQ30" s="49"/>
      <c r="WZR30" s="49"/>
      <c r="WZS30" s="49"/>
      <c r="WZT30" s="49"/>
      <c r="WZU30" s="49"/>
      <c r="WZV30" s="49"/>
      <c r="WZW30" s="49"/>
      <c r="WZX30" s="49"/>
      <c r="WZY30" s="49"/>
      <c r="WZZ30" s="49"/>
      <c r="XAA30" s="49"/>
      <c r="XAB30" s="49"/>
      <c r="XAC30" s="49"/>
      <c r="XAD30" s="49"/>
      <c r="XAE30" s="49"/>
      <c r="XAF30" s="49"/>
      <c r="XAG30" s="49"/>
      <c r="XAH30" s="49"/>
      <c r="XAI30" s="49"/>
      <c r="XAJ30" s="49"/>
      <c r="XAK30" s="49"/>
      <c r="XAL30" s="49"/>
      <c r="XAM30" s="49"/>
      <c r="XAN30" s="49"/>
      <c r="XAO30" s="49"/>
      <c r="XAP30" s="49"/>
      <c r="XAQ30" s="49"/>
      <c r="XAR30" s="49"/>
      <c r="XAS30" s="49"/>
      <c r="XAT30" s="49"/>
      <c r="XAU30" s="49"/>
      <c r="XAV30" s="49"/>
      <c r="XAW30" s="49"/>
      <c r="XAX30" s="49"/>
      <c r="XAY30" s="49"/>
      <c r="XAZ30" s="49"/>
      <c r="XBA30" s="49"/>
      <c r="XBB30" s="49"/>
      <c r="XBC30" s="49"/>
      <c r="XBD30" s="49"/>
      <c r="XBE30" s="49"/>
      <c r="XBF30" s="49"/>
      <c r="XBG30" s="49"/>
      <c r="XBH30" s="49"/>
      <c r="XBI30" s="49"/>
      <c r="XBJ30" s="49"/>
      <c r="XBK30" s="49"/>
      <c r="XBL30" s="49"/>
      <c r="XBM30" s="49"/>
      <c r="XBN30" s="49"/>
      <c r="XBO30" s="49"/>
      <c r="XBP30" s="49"/>
      <c r="XBQ30" s="49"/>
      <c r="XBR30" s="49"/>
      <c r="XBS30" s="49"/>
      <c r="XBT30" s="49"/>
      <c r="XBU30" s="49"/>
      <c r="XBV30" s="49"/>
      <c r="XBW30" s="49"/>
      <c r="XBX30" s="49"/>
      <c r="XBY30" s="49"/>
      <c r="XBZ30" s="49"/>
      <c r="XCA30" s="49"/>
      <c r="XCB30" s="49"/>
      <c r="XCC30" s="49"/>
      <c r="XCD30" s="49"/>
      <c r="XCE30" s="49"/>
      <c r="XCF30" s="49"/>
      <c r="XCG30" s="49"/>
      <c r="XCH30" s="49"/>
      <c r="XCI30" s="49"/>
      <c r="XCJ30" s="49"/>
      <c r="XCK30" s="49"/>
      <c r="XCL30" s="49"/>
      <c r="XCM30" s="49"/>
      <c r="XCN30" s="49"/>
      <c r="XCO30" s="49"/>
      <c r="XCP30" s="49"/>
      <c r="XCQ30" s="49"/>
      <c r="XCR30" s="49"/>
      <c r="XCS30" s="49"/>
      <c r="XCT30" s="49"/>
      <c r="XCU30" s="49"/>
      <c r="XCV30" s="49"/>
      <c r="XCW30" s="49"/>
      <c r="XCX30" s="49"/>
      <c r="XCY30" s="49"/>
      <c r="XCZ30" s="49"/>
      <c r="XDA30" s="49"/>
      <c r="XDB30" s="49"/>
      <c r="XDC30" s="49"/>
      <c r="XDD30" s="49"/>
      <c r="XDE30" s="49"/>
      <c r="XDF30" s="49"/>
      <c r="XDG30" s="49"/>
      <c r="XDH30" s="49"/>
      <c r="XDI30" s="49"/>
      <c r="XDJ30" s="49"/>
      <c r="XDK30" s="49"/>
      <c r="XDL30" s="49"/>
      <c r="XDM30" s="49"/>
      <c r="XDN30" s="49"/>
      <c r="XDO30" s="49"/>
      <c r="XDP30" s="49"/>
      <c r="XDQ30" s="49"/>
      <c r="XDR30" s="49"/>
      <c r="XDS30" s="49"/>
      <c r="XDT30" s="49"/>
      <c r="XDU30" s="49"/>
      <c r="XDV30" s="49"/>
      <c r="XDW30" s="49"/>
      <c r="XDX30" s="49"/>
      <c r="XDY30" s="49"/>
      <c r="XDZ30" s="49"/>
      <c r="XEA30" s="49"/>
      <c r="XEB30" s="49"/>
      <c r="XEC30" s="49"/>
      <c r="XED30" s="49"/>
      <c r="XEE30" s="49"/>
      <c r="XEF30" s="49"/>
      <c r="XEG30" s="49"/>
      <c r="XEH30" s="49"/>
      <c r="XEI30" s="49"/>
      <c r="XEJ30" s="49"/>
      <c r="XEK30" s="49"/>
      <c r="XEL30" s="49"/>
      <c r="XEM30" s="49"/>
      <c r="XEN30" s="49"/>
      <c r="XEO30" s="49"/>
      <c r="XEP30" s="49"/>
      <c r="XEQ30" s="49"/>
      <c r="XER30" s="49"/>
      <c r="XES30" s="49"/>
      <c r="XET30" s="49"/>
      <c r="XEU30" s="49"/>
      <c r="XEV30" s="49"/>
      <c r="XEW30" s="49"/>
      <c r="XEX30" s="49"/>
      <c r="XEY30" s="49"/>
      <c r="XEZ30" s="49"/>
      <c r="XFA30" s="49"/>
      <c r="XFB30" s="49"/>
      <c r="XFC30" s="49"/>
      <c r="XFD30" s="49"/>
    </row>
    <row r="31" spans="1:16384" s="169" customFormat="1">
      <c r="A31" s="294">
        <f t="shared" si="0"/>
        <v>26</v>
      </c>
      <c r="B31" s="544" t="s">
        <v>48</v>
      </c>
      <c r="C31" s="525" t="str">
        <f>"Sum of Lines "&amp;TEXT(A25,"0")&amp;" through "&amp;TEXT(A30,"0")</f>
        <v>Sum of Lines 20 through 25</v>
      </c>
      <c r="D31" s="545"/>
      <c r="E31" s="546"/>
      <c r="F31" s="546"/>
      <c r="G31" s="547">
        <f>SUM(G24:G30)</f>
        <v>43958.338585864556</v>
      </c>
      <c r="H31" s="548"/>
      <c r="I31" s="549"/>
      <c r="J31" s="549"/>
      <c r="K31" s="221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</row>
    <row r="32" spans="1:16384" s="169" customFormat="1">
      <c r="A32" s="294">
        <f t="shared" si="0"/>
        <v>27</v>
      </c>
      <c r="B32" s="550" t="s">
        <v>313</v>
      </c>
      <c r="C32" s="525"/>
      <c r="D32" s="545"/>
      <c r="E32" s="546"/>
      <c r="F32" s="546"/>
      <c r="G32" s="548"/>
      <c r="H32" s="548"/>
      <c r="I32" s="549"/>
      <c r="J32" s="549"/>
      <c r="K32" s="221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</row>
    <row r="33" spans="1:22" s="169" customFormat="1">
      <c r="A33" s="294">
        <f t="shared" si="0"/>
        <v>28</v>
      </c>
      <c r="B33" s="551"/>
      <c r="C33" s="525"/>
      <c r="D33" s="545"/>
      <c r="E33" s="546"/>
      <c r="F33" s="546"/>
      <c r="G33" s="531"/>
      <c r="H33" s="548"/>
      <c r="I33" s="549"/>
      <c r="J33" s="549"/>
      <c r="K33" s="802"/>
      <c r="L33" s="234"/>
      <c r="M33" s="803"/>
      <c r="N33" s="803"/>
      <c r="O33" s="803"/>
      <c r="P33" s="803"/>
      <c r="Q33" s="803"/>
      <c r="R33" s="803"/>
      <c r="S33" s="803"/>
      <c r="T33" s="803"/>
      <c r="U33" s="803"/>
      <c r="V33" s="803"/>
    </row>
    <row r="34" spans="1:22" s="169" customFormat="1" ht="21" customHeight="1">
      <c r="A34" s="294">
        <f t="shared" si="0"/>
        <v>29</v>
      </c>
      <c r="B34" s="544" t="s">
        <v>362</v>
      </c>
      <c r="C34" s="525" t="str">
        <f>"Sum of Lines "&amp;TEXT(A25,"0")&amp;", "&amp;TEXT(A27,"0")&amp;", "&amp;TEXT(A28,"0")&amp;", "&amp;TEXT(A29,"0")&amp;", and "&amp;TEXT(A30,"0")</f>
        <v>Sum of Lines 20, 22, 23, 24, and 25</v>
      </c>
      <c r="D34" s="545"/>
      <c r="E34" s="546"/>
      <c r="F34" s="546"/>
      <c r="G34" s="531">
        <f>G25+G27+G28+G29+G30</f>
        <v>35463.309002531227</v>
      </c>
      <c r="H34" s="548"/>
      <c r="I34" s="549"/>
      <c r="J34" s="549"/>
      <c r="K34" s="221"/>
      <c r="L34" s="803"/>
      <c r="M34" s="803"/>
      <c r="N34" s="803"/>
      <c r="O34" s="803"/>
      <c r="P34" s="803"/>
      <c r="Q34" s="803"/>
      <c r="R34" s="803"/>
      <c r="S34" s="803"/>
      <c r="T34" s="803"/>
      <c r="U34" s="803"/>
      <c r="V34" s="803"/>
    </row>
    <row r="35" spans="1:22" s="169" customFormat="1">
      <c r="A35" s="294">
        <f t="shared" si="0"/>
        <v>30</v>
      </c>
      <c r="B35" s="551" t="s">
        <v>237</v>
      </c>
      <c r="C35" s="525" t="str">
        <f>"Line "&amp;TEXT(A31,"0")</f>
        <v>Line 26</v>
      </c>
      <c r="D35" s="545"/>
      <c r="E35" s="546"/>
      <c r="F35" s="546"/>
      <c r="G35" s="552">
        <f>G31</f>
        <v>43958.338585864556</v>
      </c>
      <c r="H35" s="548"/>
      <c r="I35" s="549"/>
      <c r="J35" s="549"/>
      <c r="K35" s="221"/>
      <c r="L35" s="803"/>
      <c r="M35" s="803"/>
      <c r="N35" s="803"/>
      <c r="O35" s="803"/>
      <c r="P35" s="803"/>
      <c r="Q35" s="803"/>
      <c r="R35" s="803"/>
      <c r="S35" s="803"/>
      <c r="T35" s="803"/>
      <c r="U35" s="803"/>
      <c r="V35" s="803"/>
    </row>
    <row r="36" spans="1:22" s="169" customFormat="1">
      <c r="A36" s="294">
        <f t="shared" si="0"/>
        <v>31</v>
      </c>
      <c r="B36" s="544" t="s">
        <v>336</v>
      </c>
      <c r="C36" s="525" t="str">
        <f>"Line "&amp;TEXT(A34,"0")&amp;" / Line "&amp;TEXT(A35,"0")</f>
        <v>Line 29 / Line 30</v>
      </c>
      <c r="D36" s="545"/>
      <c r="E36" s="546"/>
      <c r="F36" s="546"/>
      <c r="G36" s="548"/>
      <c r="H36" s="553">
        <f>G34/G35</f>
        <v>0.8067481652715367</v>
      </c>
      <c r="I36" s="549"/>
      <c r="J36" s="549"/>
      <c r="K36" s="221"/>
      <c r="L36" s="803"/>
      <c r="M36" s="803"/>
      <c r="N36" s="803"/>
      <c r="O36" s="803"/>
      <c r="P36" s="803"/>
      <c r="Q36" s="803"/>
      <c r="R36" s="803"/>
      <c r="S36" s="803"/>
      <c r="T36" s="803"/>
      <c r="U36" s="803"/>
      <c r="V36" s="803"/>
    </row>
    <row r="37" spans="1:22" s="169" customFormat="1">
      <c r="A37" s="294">
        <f t="shared" si="0"/>
        <v>32</v>
      </c>
      <c r="B37" s="544" t="s">
        <v>337</v>
      </c>
      <c r="C37" s="525" t="str">
        <f>"Line "&amp;TEXT(A26,"0")</f>
        <v>Line 21</v>
      </c>
      <c r="D37" s="545"/>
      <c r="E37" s="546"/>
      <c r="F37" s="546"/>
      <c r="G37" s="531">
        <f>G26</f>
        <v>8495.029583333333</v>
      </c>
      <c r="H37" s="548"/>
      <c r="I37" s="549"/>
      <c r="J37" s="549"/>
      <c r="K37" s="221"/>
      <c r="L37" s="803"/>
      <c r="M37" s="803"/>
      <c r="N37" s="803"/>
      <c r="O37" s="803"/>
      <c r="P37" s="803"/>
      <c r="Q37" s="803"/>
      <c r="R37" s="803"/>
      <c r="S37" s="803"/>
      <c r="T37" s="803"/>
      <c r="U37" s="803"/>
      <c r="V37" s="803"/>
    </row>
    <row r="38" spans="1:22" s="169" customFormat="1">
      <c r="A38" s="294">
        <f t="shared" si="0"/>
        <v>33</v>
      </c>
      <c r="B38" s="551" t="s">
        <v>237</v>
      </c>
      <c r="C38" s="525" t="str">
        <f>"Line "&amp;TEXT(A31,"0")</f>
        <v>Line 26</v>
      </c>
      <c r="D38" s="545"/>
      <c r="E38" s="546"/>
      <c r="F38" s="546"/>
      <c r="G38" s="552">
        <f>G31</f>
        <v>43958.338585864556</v>
      </c>
      <c r="H38" s="548"/>
      <c r="I38" s="549"/>
      <c r="J38" s="549"/>
      <c r="K38" s="221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</row>
    <row r="39" spans="1:22" s="169" customFormat="1">
      <c r="A39" s="294">
        <f t="shared" si="0"/>
        <v>34</v>
      </c>
      <c r="B39" s="544" t="s">
        <v>338</v>
      </c>
      <c r="C39" s="525" t="str">
        <f>"Line "&amp;TEXT(A37,"0")&amp;" / Line "&amp;TEXT(A38,"0")</f>
        <v>Line 32 / Line 33</v>
      </c>
      <c r="D39" s="545"/>
      <c r="E39" s="546"/>
      <c r="F39" s="546"/>
      <c r="G39" s="548"/>
      <c r="H39" s="553">
        <f>G37/G38</f>
        <v>0.19325183472846341</v>
      </c>
      <c r="I39" s="549"/>
      <c r="J39" s="549"/>
      <c r="K39" s="164"/>
    </row>
    <row r="40" spans="1:22" s="169" customFormat="1" ht="20.25" customHeight="1">
      <c r="A40" s="294">
        <f t="shared" si="0"/>
        <v>35</v>
      </c>
      <c r="B40" s="550" t="s">
        <v>339</v>
      </c>
      <c r="C40" s="525"/>
      <c r="D40" s="545"/>
      <c r="E40" s="546"/>
      <c r="F40" s="546"/>
      <c r="G40" s="548"/>
      <c r="H40" s="548"/>
      <c r="I40" s="549"/>
      <c r="J40" s="549"/>
      <c r="K40" s="164"/>
    </row>
    <row r="41" spans="1:22" s="169" customFormat="1">
      <c r="A41" s="294">
        <f t="shared" si="0"/>
        <v>36</v>
      </c>
      <c r="B41" s="544"/>
      <c r="C41" s="525"/>
      <c r="D41" s="545"/>
      <c r="E41" s="546"/>
      <c r="F41" s="554"/>
      <c r="G41" s="548"/>
      <c r="H41" s="548"/>
      <c r="I41" s="549"/>
      <c r="J41" s="549"/>
      <c r="K41" s="164"/>
    </row>
    <row r="42" spans="1:22" s="169" customFormat="1">
      <c r="A42" s="294">
        <f t="shared" si="0"/>
        <v>37</v>
      </c>
      <c r="B42" s="544" t="s">
        <v>363</v>
      </c>
      <c r="C42" s="525"/>
      <c r="D42" s="545"/>
      <c r="E42" s="546"/>
      <c r="F42" s="546"/>
      <c r="G42" s="548"/>
      <c r="H42" s="548"/>
      <c r="I42" s="549"/>
      <c r="J42" s="549"/>
      <c r="K42" s="164"/>
    </row>
    <row r="43" spans="1:22" s="169" customFormat="1">
      <c r="A43" s="294">
        <f t="shared" si="0"/>
        <v>38</v>
      </c>
      <c r="B43" s="544" t="s">
        <v>191</v>
      </c>
      <c r="C43" s="525" t="str">
        <f>"Line "&amp;TEXT(A22,"0")</f>
        <v>Line 17</v>
      </c>
      <c r="D43" s="545"/>
      <c r="E43" s="546"/>
      <c r="F43" s="555">
        <f>F22</f>
        <v>166907.98527686083</v>
      </c>
      <c r="G43" s="548"/>
      <c r="H43" s="548"/>
      <c r="I43" s="549"/>
      <c r="J43" s="549"/>
      <c r="K43" s="164"/>
    </row>
    <row r="44" spans="1:22" s="169" customFormat="1">
      <c r="A44" s="294">
        <f t="shared" si="0"/>
        <v>39</v>
      </c>
      <c r="B44" s="544" t="s">
        <v>317</v>
      </c>
      <c r="C44" s="525" t="str">
        <f>"Line "&amp;TEXT(A36,"0")</f>
        <v>Line 31</v>
      </c>
      <c r="D44" s="545"/>
      <c r="E44" s="546"/>
      <c r="F44" s="546"/>
      <c r="G44" s="548"/>
      <c r="H44" s="556">
        <f>H36</f>
        <v>0.8067481652715367</v>
      </c>
      <c r="I44" s="549"/>
      <c r="J44" s="549"/>
      <c r="K44" s="164"/>
    </row>
    <row r="45" spans="1:22" s="169" customFormat="1">
      <c r="A45" s="294">
        <f t="shared" si="0"/>
        <v>40</v>
      </c>
      <c r="B45" s="544" t="s">
        <v>320</v>
      </c>
      <c r="C45" s="525" t="str">
        <f>"Line "&amp;TEXT(A43,"0")&amp;" x Line "&amp;TEXT(A44,"0")</f>
        <v>Line 38 x Line 39</v>
      </c>
      <c r="D45" s="545"/>
      <c r="E45" s="546"/>
      <c r="F45" s="548">
        <f>F43*H44</f>
        <v>134652.71089127613</v>
      </c>
      <c r="G45" s="548"/>
      <c r="H45" s="548"/>
      <c r="I45" s="549"/>
      <c r="J45" s="549"/>
      <c r="K45" s="164"/>
    </row>
    <row r="46" spans="1:22" s="169" customFormat="1">
      <c r="A46" s="294">
        <f t="shared" si="0"/>
        <v>41</v>
      </c>
      <c r="B46" s="544" t="s">
        <v>340</v>
      </c>
      <c r="C46" s="525" t="str">
        <f>"Line "&amp;TEXT(A34,"0")</f>
        <v>Line 29</v>
      </c>
      <c r="D46" s="545"/>
      <c r="E46" s="546"/>
      <c r="F46" s="546"/>
      <c r="G46" s="531">
        <f>G34</f>
        <v>35463.309002531227</v>
      </c>
      <c r="H46" s="548"/>
      <c r="I46" s="549"/>
      <c r="J46" s="549"/>
      <c r="K46" s="164"/>
    </row>
    <row r="47" spans="1:22" s="169" customFormat="1">
      <c r="A47" s="294">
        <f t="shared" si="0"/>
        <v>42</v>
      </c>
      <c r="B47" s="544" t="s">
        <v>341</v>
      </c>
      <c r="C47" s="525" t="str">
        <f>"Line "&amp;TEXT(A45,"0")&amp;" / Line "&amp;TEXT(A46,"0")</f>
        <v>Line 40 / Line 41</v>
      </c>
      <c r="D47" s="545"/>
      <c r="E47" s="546"/>
      <c r="F47" s="546"/>
      <c r="G47" s="548"/>
      <c r="H47" s="548"/>
      <c r="I47" s="557">
        <f>F45/G46</f>
        <v>3.796958453077945</v>
      </c>
      <c r="J47" s="549"/>
      <c r="K47" s="164"/>
    </row>
    <row r="48" spans="1:22" s="169" customFormat="1">
      <c r="A48" s="294">
        <f t="shared" si="0"/>
        <v>43</v>
      </c>
      <c r="B48" s="544" t="s">
        <v>342</v>
      </c>
      <c r="C48" s="525" t="str">
        <f>"Line "&amp;TEXT(A47,"0")&amp;" / 12"</f>
        <v>Line 42 / 12</v>
      </c>
      <c r="D48" s="545"/>
      <c r="E48" s="546"/>
      <c r="F48" s="546"/>
      <c r="G48" s="548"/>
      <c r="H48" s="548"/>
      <c r="I48" s="558">
        <f>ROUND(I47/12,3)</f>
        <v>0.316</v>
      </c>
      <c r="J48" s="549"/>
      <c r="K48" s="164"/>
      <c r="L48" s="170"/>
    </row>
    <row r="49" spans="1:12" s="169" customFormat="1">
      <c r="A49" s="294">
        <f t="shared" si="0"/>
        <v>44</v>
      </c>
      <c r="B49" s="544" t="s">
        <v>343</v>
      </c>
      <c r="C49" s="525" t="str">
        <f>"Line "&amp;TEXT(A47,"0")&amp;" / (365) x (7/5)"</f>
        <v>Line 42 / (365) x (7/5)</v>
      </c>
      <c r="D49" s="545"/>
      <c r="E49" s="546"/>
      <c r="F49" s="546"/>
      <c r="G49" s="548"/>
      <c r="H49" s="548"/>
      <c r="I49" s="558">
        <f>ROUND(I47/365*7/5,3)</f>
        <v>1.4999999999999999E-2</v>
      </c>
      <c r="J49" s="549"/>
      <c r="K49" s="164"/>
    </row>
    <row r="50" spans="1:12" s="169" customFormat="1">
      <c r="A50" s="294">
        <f t="shared" si="0"/>
        <v>45</v>
      </c>
      <c r="B50" s="544" t="s">
        <v>344</v>
      </c>
      <c r="C50" s="525" t="str">
        <f>"Line "&amp;TEXT(A47,"0")&amp;" / (365)"</f>
        <v>Line 42 / (365)</v>
      </c>
      <c r="D50" s="545"/>
      <c r="E50" s="546"/>
      <c r="F50" s="546"/>
      <c r="G50" s="548"/>
      <c r="H50" s="548"/>
      <c r="I50" s="558">
        <f>ROUND(I47/365,3)</f>
        <v>0.01</v>
      </c>
      <c r="J50" s="549"/>
      <c r="K50" s="164"/>
    </row>
    <row r="51" spans="1:12" s="169" customFormat="1">
      <c r="A51" s="294">
        <f t="shared" si="0"/>
        <v>46</v>
      </c>
      <c r="B51" s="544" t="s">
        <v>45</v>
      </c>
      <c r="C51" s="525" t="str">
        <f>"Line "&amp;TEXT(A47,"0")&amp;" / (8.76) x (7/5) x (24/16)"</f>
        <v>Line 42 / (8.76) x (7/5) x (24/16)</v>
      </c>
      <c r="D51" s="545"/>
      <c r="E51" s="546"/>
      <c r="F51" s="546"/>
      <c r="G51" s="548"/>
      <c r="H51" s="548"/>
      <c r="I51" s="557">
        <f>ROUND(I47/8.76*7/5*24/16,2)</f>
        <v>0.91</v>
      </c>
      <c r="J51" s="549"/>
      <c r="K51" s="164"/>
    </row>
    <row r="52" spans="1:12" s="169" customFormat="1">
      <c r="A52" s="294">
        <f t="shared" si="0"/>
        <v>47</v>
      </c>
      <c r="B52" s="544" t="s">
        <v>323</v>
      </c>
      <c r="C52" s="525"/>
      <c r="D52" s="545"/>
      <c r="E52" s="546"/>
      <c r="F52" s="546"/>
      <c r="G52" s="548"/>
      <c r="H52" s="548"/>
      <c r="I52" s="549"/>
      <c r="J52" s="549"/>
      <c r="K52" s="164"/>
    </row>
    <row r="53" spans="1:12" s="169" customFormat="1">
      <c r="A53" s="294">
        <f t="shared" si="0"/>
        <v>48</v>
      </c>
      <c r="B53" s="544" t="s">
        <v>191</v>
      </c>
      <c r="C53" s="525" t="str">
        <f>"Line "&amp;TEXT(A22,"0")</f>
        <v>Line 17</v>
      </c>
      <c r="D53" s="545"/>
      <c r="E53" s="546"/>
      <c r="F53" s="555">
        <f>F22</f>
        <v>166907.98527686083</v>
      </c>
      <c r="G53" s="548"/>
      <c r="H53" s="548"/>
      <c r="I53" s="549"/>
      <c r="J53" s="549"/>
      <c r="K53" s="164"/>
    </row>
    <row r="54" spans="1:12" s="169" customFormat="1">
      <c r="A54" s="294">
        <f t="shared" si="0"/>
        <v>49</v>
      </c>
      <c r="B54" s="544" t="s">
        <v>319</v>
      </c>
      <c r="C54" s="525" t="str">
        <f>"Line "&amp;TEXT(A39,"0")</f>
        <v>Line 34</v>
      </c>
      <c r="D54" s="545"/>
      <c r="E54" s="546"/>
      <c r="F54" s="546"/>
      <c r="G54" s="548"/>
      <c r="H54" s="556">
        <f>H39</f>
        <v>0.19325183472846341</v>
      </c>
      <c r="I54" s="549"/>
      <c r="J54" s="549"/>
      <c r="K54" s="164"/>
    </row>
    <row r="55" spans="1:12" s="169" customFormat="1">
      <c r="A55" s="294">
        <f t="shared" si="0"/>
        <v>50</v>
      </c>
      <c r="B55" s="544" t="s">
        <v>321</v>
      </c>
      <c r="C55" s="525" t="str">
        <f>"Line "&amp;TEXT(A53,"0")&amp;" x Line "&amp;TEXT(A54,"0")</f>
        <v>Line 48 x Line 49</v>
      </c>
      <c r="D55" s="545"/>
      <c r="E55" s="546"/>
      <c r="F55" s="548">
        <f>F53*H54</f>
        <v>32255.274385584711</v>
      </c>
      <c r="G55" s="548"/>
      <c r="H55" s="548"/>
      <c r="I55" s="549"/>
      <c r="J55" s="549"/>
      <c r="K55" s="164"/>
    </row>
    <row r="56" spans="1:12" s="169" customFormat="1">
      <c r="A56" s="294">
        <f t="shared" si="0"/>
        <v>51</v>
      </c>
      <c r="B56" s="544" t="s">
        <v>349</v>
      </c>
      <c r="C56" s="525" t="s">
        <v>600</v>
      </c>
      <c r="D56" s="545"/>
      <c r="E56" s="546"/>
      <c r="F56" s="546"/>
      <c r="G56" s="531">
        <f>'T-7'!E12</f>
        <v>6912.9060735460189</v>
      </c>
      <c r="H56" s="548"/>
      <c r="I56" s="549"/>
      <c r="J56" s="549"/>
      <c r="K56" s="164"/>
    </row>
    <row r="57" spans="1:12" s="169" customFormat="1">
      <c r="A57" s="294">
        <f t="shared" si="0"/>
        <v>52</v>
      </c>
      <c r="B57" s="544" t="s">
        <v>350</v>
      </c>
      <c r="C57" s="525" t="str">
        <f>"Line "&amp;TEXT(A55,"0")&amp;" / Line "&amp;TEXT(A56,"0")</f>
        <v>Line 50 / Line 51</v>
      </c>
      <c r="D57" s="545"/>
      <c r="E57" s="546"/>
      <c r="F57" s="546"/>
      <c r="G57" s="548"/>
      <c r="H57" s="548"/>
      <c r="I57" s="557">
        <f>F55/G56</f>
        <v>4.6659500421997144</v>
      </c>
      <c r="J57" s="549"/>
      <c r="K57" s="164"/>
    </row>
    <row r="58" spans="1:12" s="169" customFormat="1">
      <c r="A58" s="294">
        <f t="shared" si="0"/>
        <v>53</v>
      </c>
      <c r="B58" s="544" t="s">
        <v>352</v>
      </c>
      <c r="C58" s="525" t="str">
        <f>"Line "&amp;TEXT(A57,"0")&amp;" / 12"</f>
        <v>Line 52 / 12</v>
      </c>
      <c r="D58" s="545"/>
      <c r="E58" s="546"/>
      <c r="F58" s="546"/>
      <c r="G58" s="548"/>
      <c r="H58" s="548"/>
      <c r="I58" s="558">
        <f>ROUND(I57/12,3)</f>
        <v>0.38900000000000001</v>
      </c>
      <c r="J58" s="549"/>
      <c r="K58" s="164"/>
      <c r="L58" s="170"/>
    </row>
    <row r="59" spans="1:12" s="169" customFormat="1" ht="18.75" customHeight="1">
      <c r="A59" s="294">
        <f t="shared" si="0"/>
        <v>54</v>
      </c>
      <c r="B59" s="533" t="s">
        <v>53</v>
      </c>
      <c r="C59" s="559"/>
      <c r="D59" s="545"/>
      <c r="E59" s="546"/>
      <c r="F59" s="546"/>
      <c r="G59" s="524"/>
      <c r="H59" s="524"/>
      <c r="I59" s="549"/>
      <c r="J59" s="549"/>
    </row>
    <row r="60" spans="1:12" s="169" customFormat="1" ht="18.75" customHeight="1">
      <c r="A60" s="294">
        <f t="shared" si="0"/>
        <v>55</v>
      </c>
      <c r="B60" s="528" t="s">
        <v>365</v>
      </c>
      <c r="C60" s="559"/>
      <c r="D60" s="545"/>
      <c r="E60" s="546"/>
      <c r="F60" s="546"/>
      <c r="G60" s="524"/>
      <c r="H60" s="524"/>
      <c r="I60" s="549"/>
      <c r="J60" s="549"/>
    </row>
    <row r="61" spans="1:12" s="169" customFormat="1" ht="18.75" customHeight="1">
      <c r="A61" s="294">
        <f t="shared" si="0"/>
        <v>56</v>
      </c>
      <c r="B61" s="538" t="s">
        <v>44</v>
      </c>
      <c r="C61" s="559" t="str">
        <f>"Line "&amp;TEXT(A58,"0")</f>
        <v>Line 53</v>
      </c>
      <c r="D61" s="545"/>
      <c r="E61" s="546"/>
      <c r="F61" s="546"/>
      <c r="G61" s="524"/>
      <c r="H61" s="524"/>
      <c r="I61" s="558">
        <f>I58</f>
        <v>0.38900000000000001</v>
      </c>
      <c r="J61" s="560" t="s">
        <v>34</v>
      </c>
    </row>
    <row r="62" spans="1:12" s="169" customFormat="1" ht="18.75" customHeight="1">
      <c r="A62" s="294">
        <f t="shared" si="0"/>
        <v>57</v>
      </c>
      <c r="B62" s="528" t="s">
        <v>364</v>
      </c>
      <c r="C62" s="559"/>
      <c r="D62" s="545"/>
      <c r="E62" s="546"/>
      <c r="F62" s="546"/>
      <c r="G62" s="524"/>
      <c r="H62" s="524"/>
      <c r="I62" s="549"/>
      <c r="J62" s="549"/>
    </row>
    <row r="63" spans="1:12" s="169" customFormat="1">
      <c r="A63" s="294">
        <f t="shared" si="0"/>
        <v>58</v>
      </c>
      <c r="B63" s="538" t="s">
        <v>43</v>
      </c>
      <c r="C63" s="517" t="str">
        <f>"Line "&amp;TEXT(A47,"0")</f>
        <v>Line 42</v>
      </c>
      <c r="D63" s="549"/>
      <c r="E63" s="546"/>
      <c r="F63" s="561"/>
      <c r="G63" s="524"/>
      <c r="H63" s="524"/>
      <c r="I63" s="562">
        <f>I47</f>
        <v>3.796958453077945</v>
      </c>
      <c r="J63" s="560" t="s">
        <v>59</v>
      </c>
    </row>
    <row r="64" spans="1:12" s="169" customFormat="1">
      <c r="A64" s="294">
        <f t="shared" si="0"/>
        <v>59</v>
      </c>
      <c r="B64" s="538" t="s">
        <v>44</v>
      </c>
      <c r="C64" s="517" t="str">
        <f>"Line "&amp;TEXT(A48,"0")</f>
        <v>Line 43</v>
      </c>
      <c r="D64" s="549"/>
      <c r="E64" s="546"/>
      <c r="F64" s="561"/>
      <c r="G64" s="524"/>
      <c r="H64" s="524"/>
      <c r="I64" s="563">
        <f>I48</f>
        <v>0.316</v>
      </c>
      <c r="J64" s="560" t="s">
        <v>34</v>
      </c>
    </row>
    <row r="65" spans="1:13" s="169" customFormat="1">
      <c r="A65" s="294">
        <f t="shared" si="0"/>
        <v>60</v>
      </c>
      <c r="B65" s="538" t="s">
        <v>54</v>
      </c>
      <c r="C65" s="517" t="str">
        <f>"Line "&amp;TEXT(A49,"0")</f>
        <v>Line 44</v>
      </c>
      <c r="D65" s="549"/>
      <c r="E65" s="546"/>
      <c r="F65" s="561"/>
      <c r="G65" s="524"/>
      <c r="H65" s="524"/>
      <c r="I65" s="563">
        <f>I49</f>
        <v>1.4999999999999999E-2</v>
      </c>
      <c r="J65" s="560" t="s">
        <v>60</v>
      </c>
      <c r="K65" s="168"/>
    </row>
    <row r="66" spans="1:13" s="169" customFormat="1">
      <c r="A66" s="294">
        <f t="shared" si="0"/>
        <v>61</v>
      </c>
      <c r="B66" s="538" t="s">
        <v>55</v>
      </c>
      <c r="C66" s="517" t="str">
        <f>"Line "&amp;TEXT(A50,"0")</f>
        <v>Line 45</v>
      </c>
      <c r="D66" s="549"/>
      <c r="E66" s="546"/>
      <c r="F66" s="561"/>
      <c r="G66" s="524"/>
      <c r="H66" s="524"/>
      <c r="I66" s="563">
        <f>I50</f>
        <v>0.01</v>
      </c>
      <c r="J66" s="560" t="s">
        <v>60</v>
      </c>
      <c r="K66" s="168"/>
    </row>
    <row r="67" spans="1:13" s="169" customFormat="1">
      <c r="A67" s="294">
        <f t="shared" si="0"/>
        <v>62</v>
      </c>
      <c r="B67" s="538" t="s">
        <v>45</v>
      </c>
      <c r="C67" s="517" t="str">
        <f>"Line "&amp;TEXT(A51,"0")</f>
        <v>Line 46</v>
      </c>
      <c r="D67" s="549"/>
      <c r="E67" s="546"/>
      <c r="F67" s="561"/>
      <c r="G67" s="524"/>
      <c r="H67" s="524"/>
      <c r="I67" s="562">
        <f>I51</f>
        <v>0.91</v>
      </c>
      <c r="J67" s="560" t="s">
        <v>73</v>
      </c>
      <c r="K67" s="168"/>
    </row>
    <row r="68" spans="1:13" ht="18" customHeight="1">
      <c r="A68" s="294">
        <f t="shared" si="0"/>
        <v>63</v>
      </c>
      <c r="B68" s="519" t="s">
        <v>38</v>
      </c>
      <c r="C68" s="515" t="s">
        <v>145</v>
      </c>
      <c r="D68" s="520">
        <v>0</v>
      </c>
      <c r="E68" s="520">
        <v>0</v>
      </c>
      <c r="F68" s="520">
        <f>AVERAGE(D68:E68)</f>
        <v>0</v>
      </c>
      <c r="G68" s="520"/>
      <c r="H68" s="520"/>
      <c r="I68" s="524">
        <v>0</v>
      </c>
      <c r="J68" s="508" t="s">
        <v>60</v>
      </c>
      <c r="K68" s="171"/>
      <c r="L68" s="172"/>
      <c r="M68" s="172"/>
    </row>
    <row r="69" spans="1:13" ht="23.25" customHeight="1">
      <c r="A69" s="294"/>
      <c r="B69" s="564" t="s">
        <v>268</v>
      </c>
      <c r="C69" s="515"/>
      <c r="D69" s="520"/>
      <c r="E69" s="520"/>
      <c r="F69" s="520"/>
      <c r="G69" s="520"/>
      <c r="H69" s="520"/>
      <c r="I69" s="524"/>
      <c r="J69" s="508"/>
      <c r="K69" s="171"/>
      <c r="L69" s="172"/>
      <c r="M69" s="172"/>
    </row>
  </sheetData>
  <mergeCells count="2">
    <mergeCell ref="A1:J1"/>
    <mergeCell ref="A2:J2"/>
  </mergeCells>
  <phoneticPr fontId="22" type="noConversion"/>
  <printOptions horizontalCentered="1"/>
  <pageMargins left="0.5" right="0.5" top="1" bottom="1" header="0.5" footer="0.5"/>
  <pageSetup scale="65" fitToHeight="0" orientation="landscape" blackAndWhite="1" horizontalDpi="2400" verticalDpi="2400" r:id="rId1"/>
  <headerFooter alignWithMargins="0"/>
  <rowBreaks count="2" manualBreakCount="2">
    <brk id="39" max="9" man="1"/>
    <brk id="5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L29"/>
  <sheetViews>
    <sheetView zoomScale="80" zoomScaleNormal="80" workbookViewId="0">
      <selection sqref="A1:G1"/>
    </sheetView>
  </sheetViews>
  <sheetFormatPr defaultColWidth="9.33203125" defaultRowHeight="15.6"/>
  <cols>
    <col min="1" max="1" width="5.33203125" style="158" customWidth="1"/>
    <col min="2" max="2" width="43.5546875" style="158" bestFit="1" customWidth="1"/>
    <col min="3" max="3" width="22.33203125" style="158" bestFit="1" customWidth="1"/>
    <col min="4" max="4" width="22" style="158" bestFit="1" customWidth="1"/>
    <col min="5" max="5" width="12.44140625" style="158" customWidth="1"/>
    <col min="6" max="6" width="17" style="158" customWidth="1"/>
    <col min="7" max="7" width="11.33203125" style="158" customWidth="1"/>
    <col min="8" max="8" width="14.44140625" style="158" bestFit="1" customWidth="1"/>
    <col min="9" max="10" width="13.33203125" style="158" bestFit="1" customWidth="1"/>
    <col min="11" max="11" width="14.33203125" style="158" bestFit="1" customWidth="1"/>
    <col min="12" max="12" width="15.6640625" style="158" customWidth="1"/>
    <col min="13" max="16384" width="9.33203125" style="158"/>
  </cols>
  <sheetData>
    <row r="1" spans="1:12" s="174" customFormat="1" ht="17.399999999999999">
      <c r="A1" s="917" t="s">
        <v>391</v>
      </c>
      <c r="B1" s="917"/>
      <c r="C1" s="917"/>
      <c r="D1" s="917"/>
      <c r="E1" s="917"/>
      <c r="F1" s="917"/>
      <c r="G1" s="917"/>
    </row>
    <row r="2" spans="1:12" s="174" customFormat="1" ht="17.399999999999999">
      <c r="A2" s="917" t="s">
        <v>416</v>
      </c>
      <c r="B2" s="917"/>
      <c r="C2" s="917"/>
      <c r="D2" s="917"/>
      <c r="E2" s="917"/>
      <c r="F2" s="917"/>
      <c r="G2" s="917"/>
    </row>
    <row r="3" spans="1:12" s="174" customFormat="1">
      <c r="A3" s="485"/>
      <c r="B3" s="485"/>
      <c r="C3" s="485"/>
      <c r="D3" s="485"/>
      <c r="E3" s="485"/>
      <c r="F3" s="485"/>
      <c r="G3" s="485"/>
    </row>
    <row r="4" spans="1:12" s="49" customFormat="1">
      <c r="A4" s="486"/>
      <c r="B4" s="487" t="s">
        <v>0</v>
      </c>
      <c r="C4" s="488" t="s">
        <v>1</v>
      </c>
      <c r="D4" s="489" t="s">
        <v>2</v>
      </c>
      <c r="E4" s="487" t="s">
        <v>3</v>
      </c>
      <c r="F4" s="488" t="s">
        <v>4</v>
      </c>
      <c r="G4" s="489" t="s">
        <v>5</v>
      </c>
      <c r="H4" s="137"/>
      <c r="I4" s="137"/>
      <c r="J4" s="137"/>
      <c r="K4" s="137"/>
      <c r="L4" s="137"/>
    </row>
    <row r="5" spans="1:12" s="49" customFormat="1">
      <c r="A5" s="486"/>
      <c r="B5" s="487"/>
      <c r="C5" s="488"/>
      <c r="D5" s="489"/>
      <c r="E5" s="487"/>
      <c r="F5" s="488"/>
      <c r="G5" s="489"/>
      <c r="H5" s="137"/>
      <c r="I5" s="137"/>
      <c r="J5" s="137"/>
      <c r="K5" s="137"/>
      <c r="L5" s="137"/>
    </row>
    <row r="6" spans="1:12" s="49" customFormat="1" ht="13.95" customHeight="1">
      <c r="A6" s="486"/>
      <c r="B6" s="490" t="str">
        <f>+CONCATENATE("FY "&amp;Input!$A$4&amp;"/"&amp;Input!$A$5)</f>
        <v>FY 2022/2023</v>
      </c>
      <c r="C6" s="491" t="s">
        <v>51</v>
      </c>
      <c r="D6" s="491" t="s">
        <v>36</v>
      </c>
      <c r="E6" s="491" t="s">
        <v>52</v>
      </c>
      <c r="F6" s="491" t="s">
        <v>42</v>
      </c>
      <c r="G6" s="491" t="s">
        <v>53</v>
      </c>
      <c r="H6" s="787"/>
      <c r="I6" s="787"/>
      <c r="J6" s="787"/>
      <c r="K6" s="787"/>
      <c r="L6" s="148"/>
    </row>
    <row r="7" spans="1:12" s="49" customFormat="1" ht="21" customHeight="1">
      <c r="A7" s="486"/>
      <c r="B7" s="492" t="s">
        <v>418</v>
      </c>
      <c r="C7" s="493"/>
      <c r="D7" s="493"/>
      <c r="E7" s="493"/>
      <c r="F7" s="493"/>
      <c r="G7" s="493"/>
      <c r="H7" s="787"/>
      <c r="I7" s="787"/>
      <c r="J7" s="787"/>
      <c r="K7" s="787"/>
      <c r="L7" s="148"/>
    </row>
    <row r="8" spans="1:12" s="49" customFormat="1" ht="19.5" customHeight="1">
      <c r="A8" s="494">
        <v>1</v>
      </c>
      <c r="B8" s="495" t="s">
        <v>259</v>
      </c>
      <c r="C8" s="496" t="s">
        <v>202</v>
      </c>
      <c r="D8" s="497" t="str">
        <f>"Table 3, Line "&amp;TEXT('T-3'!A37,"0")&amp;" "&amp;'T-3'!I4</f>
        <v>Table 3, Line 30 (H)</v>
      </c>
      <c r="E8" s="498">
        <f>-'T-3'!I37</f>
        <v>2228.5550099999996</v>
      </c>
      <c r="F8" s="499"/>
      <c r="G8" s="499"/>
      <c r="H8" s="151"/>
      <c r="I8" s="151"/>
      <c r="J8" s="151"/>
      <c r="K8" s="151"/>
      <c r="L8" s="189"/>
    </row>
    <row r="9" spans="1:12" s="49" customFormat="1" ht="19.5" customHeight="1">
      <c r="A9" s="494">
        <f>A8+1</f>
        <v>2</v>
      </c>
      <c r="B9" s="495" t="str">
        <f>+CONCATENATE("FY "&amp;Input!$A$4&amp;" Billing Factor")</f>
        <v>FY 2022 Billing Factor</v>
      </c>
      <c r="C9" s="497" t="s">
        <v>108</v>
      </c>
      <c r="D9" s="497" t="s">
        <v>284</v>
      </c>
      <c r="E9" s="500"/>
      <c r="F9" s="501">
        <v>52766149.122448988</v>
      </c>
      <c r="G9" s="502"/>
      <c r="H9" s="804"/>
      <c r="I9" s="151"/>
      <c r="J9" s="151"/>
      <c r="K9" s="805"/>
      <c r="L9" s="190"/>
    </row>
    <row r="10" spans="1:12" s="49" customFormat="1" ht="19.5" customHeight="1">
      <c r="A10" s="494">
        <f>A9+1</f>
        <v>3</v>
      </c>
      <c r="B10" s="495" t="str">
        <f>+CONCATENATE("FY "&amp;Input!$A$5&amp;" Billing Factor")</f>
        <v>FY 2023 Billing Factor</v>
      </c>
      <c r="C10" s="497" t="s">
        <v>108</v>
      </c>
      <c r="D10" s="497" t="s">
        <v>284</v>
      </c>
      <c r="E10" s="500"/>
      <c r="F10" s="501">
        <v>53717260.562585041</v>
      </c>
      <c r="G10" s="499"/>
      <c r="H10" s="804"/>
      <c r="I10" s="151"/>
      <c r="J10" s="151"/>
      <c r="K10" s="181"/>
      <c r="L10" s="190"/>
    </row>
    <row r="11" spans="1:12" s="49" customFormat="1" ht="19.5" customHeight="1">
      <c r="A11" s="494">
        <f>A10+1</f>
        <v>4</v>
      </c>
      <c r="B11" s="495" t="s">
        <v>182</v>
      </c>
      <c r="C11" s="497" t="s">
        <v>108</v>
      </c>
      <c r="D11" s="497" t="str">
        <f>"(Line "&amp;TEXT(A9,"0")&amp;" + Line "&amp;TEXT(A10,"0")&amp;") / 2"</f>
        <v>(Line 2 + Line 3) / 2</v>
      </c>
      <c r="E11" s="500"/>
      <c r="F11" s="503">
        <f>AVERAGE(F9:F10)</f>
        <v>53241704.842517018</v>
      </c>
      <c r="G11" s="499"/>
      <c r="H11" s="151"/>
      <c r="I11" s="151"/>
      <c r="J11" s="151"/>
      <c r="K11" s="151"/>
      <c r="L11" s="190"/>
    </row>
    <row r="12" spans="1:12" s="49" customFormat="1" ht="19.5" customHeight="1">
      <c r="A12" s="494">
        <f>A11+1</f>
        <v>5</v>
      </c>
      <c r="B12" s="495" t="s">
        <v>372</v>
      </c>
      <c r="C12" s="504" t="s">
        <v>371</v>
      </c>
      <c r="D12" s="497" t="str">
        <f>"Line "&amp;TEXT(A8,"0")&amp;" / Line "&amp;TEXT(A11,0)&amp;" * 1000"</f>
        <v>Line 1 / Line 4 * 1000</v>
      </c>
      <c r="E12" s="505"/>
      <c r="F12" s="499"/>
      <c r="G12" s="506">
        <f>ROUND(E8/F11*1000,2)</f>
        <v>0.04</v>
      </c>
      <c r="H12" s="151"/>
      <c r="I12" s="151"/>
      <c r="J12" s="151"/>
      <c r="K12" s="151"/>
      <c r="L12" s="189"/>
    </row>
    <row r="13" spans="1:12">
      <c r="A13" s="494">
        <f t="shared" ref="A13:A18" si="0">A12+1</f>
        <v>6</v>
      </c>
      <c r="B13" s="492" t="s">
        <v>417</v>
      </c>
      <c r="C13" s="496"/>
      <c r="D13" s="497"/>
      <c r="E13" s="507"/>
      <c r="F13" s="499"/>
      <c r="G13" s="499"/>
      <c r="L13" s="178"/>
    </row>
    <row r="14" spans="1:12">
      <c r="A14" s="494">
        <f t="shared" si="0"/>
        <v>7</v>
      </c>
      <c r="B14" s="495" t="s">
        <v>259</v>
      </c>
      <c r="C14" s="496" t="s">
        <v>202</v>
      </c>
      <c r="D14" s="497" t="str">
        <f>"Table 3, Line "&amp;TEXT('T-3'!A38,"0")&amp;" "&amp;'T-3'!I4</f>
        <v>Table 3, Line 31 (H)</v>
      </c>
      <c r="E14" s="498">
        <f>-'T-3'!I38</f>
        <v>2228.5550099999996</v>
      </c>
      <c r="F14" s="499"/>
      <c r="G14" s="499"/>
      <c r="L14" s="178"/>
    </row>
    <row r="15" spans="1:12">
      <c r="A15" s="494">
        <f t="shared" si="0"/>
        <v>8</v>
      </c>
      <c r="B15" s="495" t="str">
        <f>+CONCATENATE("FY "&amp;Input!$A$4&amp;" Billing Factor")</f>
        <v>FY 2022 Billing Factor</v>
      </c>
      <c r="C15" s="497" t="s">
        <v>108</v>
      </c>
      <c r="D15" s="497" t="s">
        <v>454</v>
      </c>
      <c r="E15" s="507"/>
      <c r="F15" s="501">
        <f>F9</f>
        <v>52766149.122448988</v>
      </c>
      <c r="G15" s="499"/>
      <c r="I15" s="49"/>
      <c r="L15" s="190"/>
    </row>
    <row r="16" spans="1:12">
      <c r="A16" s="494">
        <f t="shared" si="0"/>
        <v>9</v>
      </c>
      <c r="B16" s="495" t="str">
        <f>+CONCATENATE("FY "&amp;Input!$A$5&amp;" Billing Factor")</f>
        <v>FY 2023 Billing Factor</v>
      </c>
      <c r="C16" s="497" t="s">
        <v>108</v>
      </c>
      <c r="D16" s="497" t="s">
        <v>455</v>
      </c>
      <c r="E16" s="507"/>
      <c r="F16" s="501">
        <f>F10</f>
        <v>53717260.562585041</v>
      </c>
      <c r="G16" s="499"/>
      <c r="I16" s="49"/>
      <c r="L16" s="190"/>
    </row>
    <row r="17" spans="1:12">
      <c r="A17" s="494">
        <f t="shared" si="0"/>
        <v>10</v>
      </c>
      <c r="B17" s="495" t="s">
        <v>182</v>
      </c>
      <c r="C17" s="497" t="s">
        <v>108</v>
      </c>
      <c r="D17" s="497" t="str">
        <f>"(Line "&amp;TEXT(A15,"0")&amp;" + Line "&amp;TEXT(A16,"0")&amp;") / 2"</f>
        <v>(Line 8 + Line 9) / 2</v>
      </c>
      <c r="E17" s="507"/>
      <c r="F17" s="503">
        <f>AVERAGE(F15:F16)</f>
        <v>53241704.842517018</v>
      </c>
      <c r="G17" s="499"/>
      <c r="L17" s="190"/>
    </row>
    <row r="18" spans="1:12">
      <c r="A18" s="494">
        <f t="shared" si="0"/>
        <v>11</v>
      </c>
      <c r="B18" s="495" t="s">
        <v>372</v>
      </c>
      <c r="C18" s="504" t="s">
        <v>371</v>
      </c>
      <c r="D18" s="497" t="str">
        <f>"Line "&amp;TEXT(A14,"0")&amp;" / Line "&amp;TEXT(A17,0)&amp;" * 1000"</f>
        <v>Line 7 / Line 10 * 1000</v>
      </c>
      <c r="E18" s="507"/>
      <c r="F18" s="499"/>
      <c r="G18" s="506">
        <f>ROUND(E14/F17*1000,2)</f>
        <v>0.04</v>
      </c>
    </row>
    <row r="20" spans="1:12">
      <c r="D20" s="175"/>
    </row>
    <row r="21" spans="1:12">
      <c r="E21" s="176"/>
      <c r="F21" s="186"/>
    </row>
    <row r="23" spans="1:12">
      <c r="G23" s="177"/>
      <c r="H23" s="177"/>
      <c r="I23" s="177"/>
      <c r="J23" s="177"/>
    </row>
    <row r="24" spans="1:12">
      <c r="B24" s="178"/>
      <c r="C24" s="178"/>
      <c r="D24" s="179"/>
      <c r="E24" s="179"/>
      <c r="F24" s="177"/>
      <c r="G24" s="180"/>
      <c r="H24" s="180"/>
      <c r="I24" s="180"/>
      <c r="J24" s="180"/>
    </row>
    <row r="25" spans="1:12">
      <c r="B25" s="178"/>
      <c r="C25" s="178"/>
      <c r="D25" s="179"/>
      <c r="E25" s="179"/>
      <c r="F25" s="177"/>
      <c r="G25" s="181"/>
      <c r="H25" s="181"/>
      <c r="I25" s="181"/>
      <c r="J25" s="180"/>
    </row>
    <row r="26" spans="1:12">
      <c r="D26" s="179"/>
      <c r="E26" s="179"/>
    </row>
    <row r="27" spans="1:12">
      <c r="D27" s="179"/>
      <c r="E27" s="179"/>
    </row>
    <row r="28" spans="1:12">
      <c r="B28" s="178"/>
      <c r="C28" s="178"/>
      <c r="D28" s="179"/>
      <c r="E28" s="179"/>
    </row>
    <row r="29" spans="1:12">
      <c r="B29" s="178"/>
      <c r="C29" s="178"/>
      <c r="D29" s="179"/>
      <c r="E29" s="179"/>
    </row>
  </sheetData>
  <mergeCells count="2">
    <mergeCell ref="A1:G1"/>
    <mergeCell ref="A2:G2"/>
  </mergeCells>
  <pageMargins left="0.7" right="0.7" top="0.75" bottom="0.75" header="0.3" footer="0.3"/>
  <pageSetup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0"/>
  <sheetViews>
    <sheetView showGridLines="0" view="pageBreakPreview" zoomScale="80" zoomScaleNormal="160" zoomScaleSheetLayoutView="80" workbookViewId="0">
      <selection sqref="A1:F1"/>
    </sheetView>
  </sheetViews>
  <sheetFormatPr defaultColWidth="9.33203125" defaultRowHeight="15.6"/>
  <cols>
    <col min="1" max="1" width="3.88671875" style="177" bestFit="1" customWidth="1"/>
    <col min="2" max="2" width="43.6640625" style="158" customWidth="1"/>
    <col min="3" max="3" width="14" style="158" customWidth="1"/>
    <col min="4" max="6" width="14" style="243" customWidth="1"/>
    <col min="7" max="7" width="9.33203125" style="158"/>
    <col min="8" max="8" width="9.5546875" style="158" bestFit="1" customWidth="1"/>
    <col min="9" max="16384" width="9.33203125" style="158"/>
  </cols>
  <sheetData>
    <row r="1" spans="1:6" ht="39.6" customHeight="1">
      <c r="A1" s="918" t="s">
        <v>695</v>
      </c>
      <c r="B1" s="919"/>
      <c r="C1" s="919"/>
      <c r="D1" s="919"/>
      <c r="E1" s="919"/>
      <c r="F1" s="919"/>
    </row>
    <row r="2" spans="1:6">
      <c r="A2" s="464"/>
      <c r="B2" s="465" t="s">
        <v>0</v>
      </c>
      <c r="C2" s="465" t="s">
        <v>1</v>
      </c>
      <c r="D2" s="465" t="s">
        <v>2</v>
      </c>
      <c r="E2" s="465" t="s">
        <v>3</v>
      </c>
      <c r="F2" s="465" t="s">
        <v>4</v>
      </c>
    </row>
    <row r="3" spans="1:6" ht="31.2">
      <c r="A3" s="464"/>
      <c r="B3" s="466" t="s">
        <v>148</v>
      </c>
      <c r="C3" s="467" t="s">
        <v>51</v>
      </c>
      <c r="D3" s="468" t="str">
        <f>CONCATENATE("FY "&amp;Input!$A$2&amp;"/"&amp;Input!$A$3&amp;" Rates")</f>
        <v>FY 2020/2021 Rates</v>
      </c>
      <c r="E3" s="468" t="str">
        <f>CONCATENATE("FY "&amp;Input!$A$4&amp;"/"&amp;Input!$A$5&amp;" Rates")</f>
        <v>FY 2022/2023 Rates</v>
      </c>
      <c r="F3" s="468" t="s">
        <v>133</v>
      </c>
    </row>
    <row r="4" spans="1:6">
      <c r="A4" s="469">
        <v>1</v>
      </c>
      <c r="B4" s="470" t="s">
        <v>287</v>
      </c>
      <c r="C4" s="471"/>
      <c r="D4" s="472"/>
      <c r="E4" s="473"/>
      <c r="F4" s="471"/>
    </row>
    <row r="5" spans="1:6">
      <c r="A5" s="469">
        <f t="shared" ref="A5:A35" si="0">A4+1</f>
        <v>2</v>
      </c>
      <c r="B5" s="474" t="s">
        <v>662</v>
      </c>
      <c r="C5" s="475" t="s">
        <v>73</v>
      </c>
      <c r="D5" s="476">
        <v>0.49</v>
      </c>
      <c r="E5" s="882">
        <f>'T-10.4'!G38</f>
        <v>0.47</v>
      </c>
      <c r="F5" s="883">
        <f>IF(D5=0,0,(E5/D5)-1)</f>
        <v>-4.081632653061229E-2</v>
      </c>
    </row>
    <row r="6" spans="1:6">
      <c r="A6" s="469">
        <f t="shared" si="0"/>
        <v>3</v>
      </c>
      <c r="B6" s="470" t="s">
        <v>452</v>
      </c>
      <c r="C6" s="471"/>
      <c r="D6" s="472"/>
      <c r="E6" s="473"/>
      <c r="F6" s="471"/>
    </row>
    <row r="7" spans="1:6">
      <c r="A7" s="469">
        <f t="shared" si="0"/>
        <v>4</v>
      </c>
      <c r="B7" s="470" t="s">
        <v>587</v>
      </c>
      <c r="C7" s="475" t="s">
        <v>73</v>
      </c>
      <c r="D7" s="476">
        <v>9.5299999999999994</v>
      </c>
      <c r="E7" s="478">
        <f>+'T-10.4'!G28</f>
        <v>11.05</v>
      </c>
      <c r="F7" s="477">
        <f t="shared" ref="F7:F13" si="1">IF(D7=0,0,(E7/D7)-1)</f>
        <v>0.15949632738719854</v>
      </c>
    </row>
    <row r="8" spans="1:6">
      <c r="A8" s="469">
        <f t="shared" si="0"/>
        <v>5</v>
      </c>
      <c r="B8" s="479" t="s">
        <v>521</v>
      </c>
      <c r="C8" s="475" t="s">
        <v>73</v>
      </c>
      <c r="D8" s="476">
        <v>10.96</v>
      </c>
      <c r="E8" s="478">
        <f>+'T-10.4'!G29</f>
        <v>12.71</v>
      </c>
      <c r="F8" s="477">
        <f t="shared" si="1"/>
        <v>0.15967153284671531</v>
      </c>
    </row>
    <row r="9" spans="1:6">
      <c r="A9" s="469">
        <f t="shared" si="0"/>
        <v>6</v>
      </c>
      <c r="B9" s="479" t="s">
        <v>520</v>
      </c>
      <c r="C9" s="475" t="s">
        <v>73</v>
      </c>
      <c r="D9" s="476">
        <v>8.32</v>
      </c>
      <c r="E9" s="353">
        <f>+'T-10.4'!G30</f>
        <v>7.22</v>
      </c>
      <c r="F9" s="477">
        <f t="shared" si="1"/>
        <v>-0.13221153846153855</v>
      </c>
    </row>
    <row r="10" spans="1:6">
      <c r="A10" s="469">
        <f t="shared" si="0"/>
        <v>7</v>
      </c>
      <c r="B10" s="350" t="s">
        <v>522</v>
      </c>
      <c r="C10" s="475" t="s">
        <v>73</v>
      </c>
      <c r="D10" s="476">
        <v>9.57</v>
      </c>
      <c r="E10" s="353">
        <f>+'T-10.4'!G31</f>
        <v>8.3000000000000007</v>
      </c>
      <c r="F10" s="477">
        <f t="shared" si="1"/>
        <v>-0.13270637408568442</v>
      </c>
    </row>
    <row r="11" spans="1:6">
      <c r="A11" s="469">
        <f t="shared" si="0"/>
        <v>8</v>
      </c>
      <c r="B11" s="480" t="s">
        <v>453</v>
      </c>
      <c r="C11" s="350"/>
      <c r="D11" s="476"/>
      <c r="E11" s="295"/>
      <c r="F11" s="476"/>
    </row>
    <row r="12" spans="1:6">
      <c r="A12" s="469">
        <f t="shared" si="0"/>
        <v>9</v>
      </c>
      <c r="B12" s="350" t="s">
        <v>663</v>
      </c>
      <c r="C12" s="350" t="s">
        <v>694</v>
      </c>
      <c r="D12" s="481">
        <v>15.11</v>
      </c>
      <c r="E12" s="482">
        <f>'T-10.4'!G45</f>
        <v>21.629000000000001</v>
      </c>
      <c r="F12" s="477">
        <f t="shared" si="1"/>
        <v>0.43143613500992739</v>
      </c>
    </row>
    <row r="13" spans="1:6">
      <c r="A13" s="469">
        <f t="shared" si="0"/>
        <v>10</v>
      </c>
      <c r="B13" s="350" t="s">
        <v>664</v>
      </c>
      <c r="C13" s="350" t="s">
        <v>694</v>
      </c>
      <c r="D13" s="481">
        <v>1.59</v>
      </c>
      <c r="E13" s="482">
        <f>'T-10.4'!G46</f>
        <v>1.23</v>
      </c>
      <c r="F13" s="477">
        <f t="shared" si="1"/>
        <v>-0.2264150943396227</v>
      </c>
    </row>
    <row r="14" spans="1:6">
      <c r="A14" s="469">
        <f t="shared" si="0"/>
        <v>11</v>
      </c>
      <c r="B14" s="480" t="s">
        <v>523</v>
      </c>
      <c r="C14" s="350"/>
      <c r="D14" s="476"/>
      <c r="E14" s="295"/>
      <c r="F14" s="476"/>
    </row>
    <row r="15" spans="1:6">
      <c r="A15" s="469">
        <f>A14+1</f>
        <v>12</v>
      </c>
      <c r="B15" s="350" t="s">
        <v>692</v>
      </c>
      <c r="C15" s="350" t="s">
        <v>410</v>
      </c>
      <c r="D15" s="481">
        <v>1.0899999999999999</v>
      </c>
      <c r="E15" s="295"/>
      <c r="F15" s="483"/>
    </row>
    <row r="16" spans="1:6">
      <c r="A16" s="469">
        <f t="shared" si="0"/>
        <v>13</v>
      </c>
      <c r="B16" s="350" t="s">
        <v>665</v>
      </c>
      <c r="C16" s="350" t="s">
        <v>410</v>
      </c>
      <c r="D16" s="476"/>
      <c r="E16" s="884">
        <f>'T-10.4'!G52</f>
        <v>0.80600000000000005</v>
      </c>
      <c r="F16" s="885">
        <f>E16/D15-1</f>
        <v>-0.26055045871559623</v>
      </c>
    </row>
    <row r="17" spans="1:8">
      <c r="A17" s="469">
        <f t="shared" si="0"/>
        <v>14</v>
      </c>
      <c r="B17" s="480" t="s">
        <v>524</v>
      </c>
      <c r="C17" s="350"/>
      <c r="D17" s="476"/>
      <c r="E17" s="295"/>
      <c r="F17" s="476"/>
    </row>
    <row r="18" spans="1:8">
      <c r="A18" s="469">
        <f t="shared" si="0"/>
        <v>15</v>
      </c>
      <c r="B18" s="350" t="s">
        <v>693</v>
      </c>
      <c r="C18" s="350" t="s">
        <v>410</v>
      </c>
      <c r="D18" s="481">
        <v>0.91</v>
      </c>
      <c r="E18" s="295"/>
      <c r="F18" s="483"/>
    </row>
    <row r="19" spans="1:8">
      <c r="A19" s="469">
        <f t="shared" si="0"/>
        <v>16</v>
      </c>
      <c r="B19" s="350" t="s">
        <v>666</v>
      </c>
      <c r="C19" s="350" t="s">
        <v>410</v>
      </c>
      <c r="D19" s="476"/>
      <c r="E19" s="884">
        <f>'T-10.4'!G58</f>
        <v>0.47899999999999998</v>
      </c>
      <c r="F19" s="885">
        <f>E19/D18-1</f>
        <v>-0.47362637362637372</v>
      </c>
    </row>
    <row r="20" spans="1:8" ht="18">
      <c r="A20" s="469">
        <f t="shared" si="0"/>
        <v>17</v>
      </c>
      <c r="B20" s="334" t="s">
        <v>588</v>
      </c>
      <c r="C20" s="286" t="s">
        <v>73</v>
      </c>
      <c r="D20" s="295">
        <v>0</v>
      </c>
      <c r="E20" s="295">
        <v>0</v>
      </c>
      <c r="F20" s="295">
        <v>0</v>
      </c>
    </row>
    <row r="21" spans="1:8">
      <c r="A21" s="469">
        <f t="shared" si="0"/>
        <v>18</v>
      </c>
      <c r="B21" s="350"/>
      <c r="C21" s="350"/>
      <c r="D21" s="476"/>
      <c r="E21" s="295"/>
      <c r="F21" s="476"/>
    </row>
    <row r="22" spans="1:8" ht="18">
      <c r="A22" s="469">
        <f t="shared" si="0"/>
        <v>19</v>
      </c>
      <c r="B22" s="470" t="s">
        <v>667</v>
      </c>
      <c r="C22" s="471"/>
      <c r="D22" s="472"/>
      <c r="E22" s="473"/>
      <c r="F22" s="879"/>
    </row>
    <row r="23" spans="1:8">
      <c r="A23" s="469">
        <f t="shared" si="0"/>
        <v>20</v>
      </c>
      <c r="B23" s="474" t="s">
        <v>655</v>
      </c>
      <c r="C23" s="475" t="s">
        <v>73</v>
      </c>
      <c r="D23" s="476">
        <v>0.49</v>
      </c>
      <c r="E23" s="882">
        <f>'T-10.4'!G91</f>
        <v>0.44</v>
      </c>
      <c r="F23" s="883">
        <f>IF(D23=0,0,(E23/D23)-1)</f>
        <v>-0.10204081632653061</v>
      </c>
      <c r="H23" s="880"/>
    </row>
    <row r="24" spans="1:8">
      <c r="A24" s="469">
        <f t="shared" si="0"/>
        <v>21</v>
      </c>
      <c r="B24" s="350"/>
      <c r="C24" s="350"/>
      <c r="D24" s="476"/>
      <c r="E24" s="295"/>
      <c r="F24" s="476"/>
      <c r="H24" s="881"/>
    </row>
    <row r="25" spans="1:8" ht="18">
      <c r="A25" s="469">
        <f t="shared" si="0"/>
        <v>22</v>
      </c>
      <c r="B25" s="480" t="s">
        <v>668</v>
      </c>
      <c r="C25" s="350"/>
      <c r="D25" s="476"/>
      <c r="E25" s="295"/>
      <c r="F25" s="476"/>
    </row>
    <row r="26" spans="1:8">
      <c r="A26" s="469">
        <f t="shared" si="0"/>
        <v>23</v>
      </c>
      <c r="B26" s="350" t="s">
        <v>669</v>
      </c>
      <c r="C26" s="350" t="s">
        <v>694</v>
      </c>
      <c r="D26" s="481">
        <v>15.11</v>
      </c>
      <c r="E26" s="482">
        <f>'T-10.4'!G98</f>
        <v>21.303000000000001</v>
      </c>
      <c r="F26" s="477">
        <f t="shared" ref="F26:F27" si="2">IF(D26=0,0,(E26/D26)-1)</f>
        <v>0.40986101919258777</v>
      </c>
    </row>
    <row r="27" spans="1:8">
      <c r="A27" s="469">
        <f t="shared" si="0"/>
        <v>24</v>
      </c>
      <c r="B27" s="350" t="s">
        <v>670</v>
      </c>
      <c r="C27" s="350" t="s">
        <v>694</v>
      </c>
      <c r="D27" s="481">
        <v>1.59</v>
      </c>
      <c r="E27" s="482">
        <f>'T-10.4'!G99</f>
        <v>1.24</v>
      </c>
      <c r="F27" s="477">
        <f t="shared" si="2"/>
        <v>-0.22012578616352207</v>
      </c>
    </row>
    <row r="28" spans="1:8">
      <c r="A28" s="469">
        <f t="shared" si="0"/>
        <v>25</v>
      </c>
      <c r="B28" s="350"/>
      <c r="C28" s="350"/>
      <c r="D28" s="476"/>
      <c r="E28" s="295"/>
      <c r="F28" s="476"/>
    </row>
    <row r="29" spans="1:8" ht="18">
      <c r="A29" s="469">
        <f t="shared" si="0"/>
        <v>26</v>
      </c>
      <c r="B29" s="480" t="s">
        <v>672</v>
      </c>
      <c r="C29" s="350"/>
      <c r="D29" s="476"/>
      <c r="E29" s="295"/>
      <c r="F29" s="476"/>
    </row>
    <row r="30" spans="1:8">
      <c r="A30" s="469">
        <f t="shared" si="0"/>
        <v>27</v>
      </c>
      <c r="B30" s="350" t="s">
        <v>692</v>
      </c>
      <c r="C30" s="350" t="s">
        <v>410</v>
      </c>
      <c r="D30" s="481">
        <v>1.0899999999999999</v>
      </c>
      <c r="E30" s="295"/>
      <c r="F30" s="483"/>
    </row>
    <row r="31" spans="1:8">
      <c r="A31" s="469">
        <f t="shared" si="0"/>
        <v>28</v>
      </c>
      <c r="B31" s="350" t="s">
        <v>671</v>
      </c>
      <c r="C31" s="350" t="s">
        <v>410</v>
      </c>
      <c r="D31" s="476"/>
      <c r="E31" s="884">
        <f>'T-10.4'!G105</f>
        <v>0.753</v>
      </c>
      <c r="F31" s="885">
        <f>E31/D30-1</f>
        <v>-0.30917431192660538</v>
      </c>
    </row>
    <row r="32" spans="1:8">
      <c r="A32" s="469">
        <f t="shared" si="0"/>
        <v>29</v>
      </c>
      <c r="B32" s="350"/>
      <c r="C32" s="350"/>
      <c r="D32" s="476"/>
      <c r="E32" s="476"/>
      <c r="F32" s="476"/>
    </row>
    <row r="33" spans="1:6" ht="18">
      <c r="A33" s="469">
        <f t="shared" si="0"/>
        <v>30</v>
      </c>
      <c r="B33" s="480" t="s">
        <v>673</v>
      </c>
      <c r="C33" s="350"/>
      <c r="D33" s="476"/>
      <c r="E33" s="476"/>
      <c r="F33" s="476"/>
    </row>
    <row r="34" spans="1:6">
      <c r="A34" s="469">
        <f t="shared" si="0"/>
        <v>31</v>
      </c>
      <c r="B34" s="350" t="s">
        <v>693</v>
      </c>
      <c r="C34" s="350" t="s">
        <v>410</v>
      </c>
      <c r="D34" s="481">
        <v>0.91</v>
      </c>
      <c r="E34" s="476"/>
      <c r="F34" s="483"/>
    </row>
    <row r="35" spans="1:6">
      <c r="A35" s="469">
        <f t="shared" si="0"/>
        <v>32</v>
      </c>
      <c r="B35" s="350" t="s">
        <v>674</v>
      </c>
      <c r="C35" s="350" t="s">
        <v>410</v>
      </c>
      <c r="D35" s="476"/>
      <c r="E35" s="886">
        <f>'T-10.4'!G111</f>
        <v>0.45600000000000002</v>
      </c>
      <c r="F35" s="885">
        <f>E35/D34-1</f>
        <v>-0.49890109890109891</v>
      </c>
    </row>
    <row r="36" spans="1:6">
      <c r="A36" s="469"/>
      <c r="B36" s="350"/>
      <c r="C36" s="350"/>
      <c r="D36" s="476"/>
      <c r="E36" s="476"/>
      <c r="F36" s="476"/>
    </row>
    <row r="37" spans="1:6" ht="28.5" customHeight="1">
      <c r="A37" s="484" t="s">
        <v>569</v>
      </c>
      <c r="B37" s="920" t="s">
        <v>574</v>
      </c>
      <c r="C37" s="921"/>
      <c r="D37" s="921"/>
      <c r="E37" s="921"/>
      <c r="F37" s="921"/>
    </row>
    <row r="38" spans="1:6" ht="47.25" customHeight="1">
      <c r="A38" s="484" t="s">
        <v>572</v>
      </c>
      <c r="B38" s="920" t="s">
        <v>573</v>
      </c>
      <c r="C38" s="922"/>
      <c r="D38" s="922"/>
      <c r="E38" s="922"/>
      <c r="F38" s="922"/>
    </row>
    <row r="40" spans="1:6">
      <c r="B40" s="244"/>
      <c r="C40" s="192"/>
    </row>
  </sheetData>
  <mergeCells count="3">
    <mergeCell ref="A1:F1"/>
    <mergeCell ref="B37:F37"/>
    <mergeCell ref="B38:F38"/>
  </mergeCells>
  <conditionalFormatting sqref="F4 F6">
    <cfRule type="cellIs" dxfId="16" priority="7" stopIfTrue="1" operator="lessThan">
      <formula>0</formula>
    </cfRule>
  </conditionalFormatting>
  <conditionalFormatting sqref="F7:F10">
    <cfRule type="cellIs" dxfId="15" priority="5" stopIfTrue="1" operator="lessThan">
      <formula>0</formula>
    </cfRule>
  </conditionalFormatting>
  <conditionalFormatting sqref="F12:F13">
    <cfRule type="cellIs" dxfId="14" priority="4" stopIfTrue="1" operator="lessThan">
      <formula>0</formula>
    </cfRule>
  </conditionalFormatting>
  <conditionalFormatting sqref="F22">
    <cfRule type="cellIs" dxfId="13" priority="3" stopIfTrue="1" operator="lessThan">
      <formula>0</formula>
    </cfRule>
  </conditionalFormatting>
  <conditionalFormatting sqref="H24">
    <cfRule type="cellIs" dxfId="12" priority="2" stopIfTrue="1" operator="lessThan">
      <formula>0</formula>
    </cfRule>
  </conditionalFormatting>
  <conditionalFormatting sqref="F26:F27">
    <cfRule type="cellIs" dxfId="11" priority="1" stopIfTrue="1" operator="lessThan">
      <formula>0</formula>
    </cfRule>
  </conditionalFormatting>
  <pageMargins left="0.7" right="0.7" top="0.75" bottom="0.75" header="0.3" footer="0.3"/>
  <pageSetup scale="88" orientation="portrait" horizontalDpi="90" verticalDpi="90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118"/>
  <sheetViews>
    <sheetView view="pageBreakPreview" zoomScale="80" zoomScaleNormal="100" zoomScaleSheetLayoutView="80" workbookViewId="0">
      <selection sqref="A1:G1"/>
    </sheetView>
  </sheetViews>
  <sheetFormatPr defaultColWidth="9.33203125" defaultRowHeight="15.6"/>
  <cols>
    <col min="1" max="1" width="9.33203125" style="237"/>
    <col min="2" max="2" width="62" style="237" customWidth="1"/>
    <col min="3" max="3" width="20.44140625" style="238" customWidth="1"/>
    <col min="4" max="4" width="17.5546875" style="237" customWidth="1"/>
    <col min="5" max="5" width="14.33203125" style="239" customWidth="1"/>
    <col min="6" max="6" width="14" style="239" customWidth="1"/>
    <col min="7" max="7" width="13.6640625" style="237" customWidth="1"/>
    <col min="8" max="8" width="4.6640625" style="237" customWidth="1"/>
    <col min="9" max="9" width="11.5546875" style="237" customWidth="1"/>
    <col min="10" max="10" width="51.33203125" style="240" customWidth="1"/>
    <col min="11" max="11" width="14" style="237" customWidth="1"/>
    <col min="12" max="12" width="12.6640625" style="237" customWidth="1"/>
    <col min="13" max="13" width="13.6640625" style="237" bestFit="1" customWidth="1"/>
    <col min="14" max="14" width="12.88671875" style="237" bestFit="1" customWidth="1"/>
    <col min="15" max="15" width="12.5546875" style="237" customWidth="1"/>
    <col min="16" max="16" width="11.109375" style="237" bestFit="1" customWidth="1"/>
    <col min="17" max="17" width="13.109375" style="237" bestFit="1" customWidth="1"/>
    <col min="18" max="18" width="24" style="237" customWidth="1"/>
    <col min="19" max="20" width="9.33203125" style="237"/>
    <col min="21" max="21" width="15.33203125" style="237" bestFit="1" customWidth="1"/>
    <col min="22" max="22" width="12.44140625" style="237" customWidth="1"/>
    <col min="23" max="16384" width="9.33203125" style="237"/>
  </cols>
  <sheetData>
    <row r="1" spans="1:11" ht="39.6" customHeight="1">
      <c r="A1" s="926" t="s">
        <v>696</v>
      </c>
      <c r="B1" s="927"/>
      <c r="C1" s="927"/>
      <c r="D1" s="927"/>
      <c r="E1" s="927"/>
      <c r="F1" s="927"/>
      <c r="G1" s="927"/>
      <c r="H1" s="246"/>
      <c r="I1" s="246"/>
      <c r="J1" s="246"/>
      <c r="K1" s="245"/>
    </row>
    <row r="2" spans="1:11">
      <c r="A2" s="356"/>
      <c r="B2" s="356"/>
      <c r="C2" s="444"/>
      <c r="D2" s="356"/>
      <c r="E2" s="445"/>
      <c r="F2" s="445"/>
      <c r="G2" s="356"/>
      <c r="I2" s="245"/>
    </row>
    <row r="3" spans="1:11">
      <c r="A3" s="356"/>
      <c r="B3" s="899" t="s">
        <v>0</v>
      </c>
      <c r="C3" s="899" t="s">
        <v>1</v>
      </c>
      <c r="D3" s="899" t="s">
        <v>2</v>
      </c>
      <c r="E3" s="899" t="s">
        <v>3</v>
      </c>
      <c r="F3" s="899" t="s">
        <v>4</v>
      </c>
      <c r="G3" s="899" t="s">
        <v>5</v>
      </c>
      <c r="I3" s="245"/>
    </row>
    <row r="4" spans="1:11">
      <c r="A4" s="356"/>
      <c r="B4" s="446"/>
      <c r="C4" s="447" t="s">
        <v>411</v>
      </c>
      <c r="D4" s="447" t="s">
        <v>500</v>
      </c>
      <c r="E4" s="928" t="s">
        <v>412</v>
      </c>
      <c r="F4" s="928"/>
      <c r="G4" s="447" t="s">
        <v>148</v>
      </c>
      <c r="H4" s="246"/>
      <c r="I4" s="245"/>
    </row>
    <row r="5" spans="1:11" s="247" customFormat="1">
      <c r="A5" s="356">
        <v>1</v>
      </c>
      <c r="B5" s="446" t="s">
        <v>691</v>
      </c>
      <c r="C5" s="447"/>
      <c r="D5" s="447"/>
      <c r="E5" s="448"/>
      <c r="F5" s="448"/>
      <c r="G5" s="447"/>
      <c r="H5" s="246"/>
      <c r="J5" s="245"/>
    </row>
    <row r="6" spans="1:11">
      <c r="A6" s="356">
        <f>A5+1</f>
        <v>2</v>
      </c>
      <c r="B6" s="356" t="s">
        <v>413</v>
      </c>
      <c r="C6" s="444" t="s">
        <v>34</v>
      </c>
      <c r="D6" s="449">
        <v>7.84</v>
      </c>
      <c r="E6" s="445"/>
      <c r="F6" s="445"/>
      <c r="G6" s="444"/>
      <c r="H6" s="238"/>
    </row>
    <row r="7" spans="1:11">
      <c r="A7" s="356">
        <f t="shared" ref="A7:A69" si="0">A6+1</f>
        <v>3</v>
      </c>
      <c r="B7" s="356" t="s">
        <v>414</v>
      </c>
      <c r="C7" s="444" t="s">
        <v>34</v>
      </c>
      <c r="D7" s="449">
        <v>0.36929868429005597</v>
      </c>
      <c r="E7" s="445"/>
      <c r="F7" s="445"/>
      <c r="G7" s="444"/>
      <c r="H7" s="238"/>
    </row>
    <row r="8" spans="1:11">
      <c r="A8" s="356">
        <f t="shared" si="0"/>
        <v>4</v>
      </c>
      <c r="B8" s="356" t="s">
        <v>484</v>
      </c>
      <c r="C8" s="444" t="s">
        <v>34</v>
      </c>
      <c r="D8" s="449">
        <v>5.04</v>
      </c>
      <c r="E8" s="445"/>
      <c r="F8" s="445"/>
      <c r="G8" s="444"/>
      <c r="H8" s="238"/>
    </row>
    <row r="9" spans="1:11">
      <c r="A9" s="356">
        <f t="shared" si="0"/>
        <v>5</v>
      </c>
      <c r="B9" s="356" t="s">
        <v>485</v>
      </c>
      <c r="C9" s="444" t="s">
        <v>34</v>
      </c>
      <c r="D9" s="449">
        <v>0.36929868429005591</v>
      </c>
      <c r="E9" s="445"/>
      <c r="F9" s="445"/>
      <c r="G9" s="444"/>
      <c r="H9" s="238"/>
    </row>
    <row r="10" spans="1:11">
      <c r="A10" s="356">
        <f t="shared" si="0"/>
        <v>6</v>
      </c>
      <c r="B10" s="356" t="s">
        <v>149</v>
      </c>
      <c r="C10" s="444" t="s">
        <v>34</v>
      </c>
      <c r="D10" s="449">
        <v>8.07</v>
      </c>
      <c r="E10" s="445"/>
      <c r="F10" s="445"/>
      <c r="G10" s="444"/>
      <c r="H10" s="238"/>
    </row>
    <row r="11" spans="1:11">
      <c r="A11" s="356">
        <f t="shared" si="0"/>
        <v>7</v>
      </c>
      <c r="B11" s="356" t="s">
        <v>150</v>
      </c>
      <c r="C11" s="444" t="s">
        <v>34</v>
      </c>
      <c r="D11" s="449">
        <v>5.27</v>
      </c>
      <c r="E11" s="445"/>
      <c r="F11" s="445"/>
      <c r="G11" s="444"/>
      <c r="H11" s="238"/>
    </row>
    <row r="12" spans="1:11">
      <c r="A12" s="356">
        <f t="shared" si="0"/>
        <v>8</v>
      </c>
      <c r="B12" s="356"/>
      <c r="C12" s="444"/>
      <c r="D12" s="444"/>
      <c r="E12" s="445"/>
      <c r="F12" s="445"/>
      <c r="G12" s="444"/>
      <c r="H12" s="238"/>
    </row>
    <row r="13" spans="1:11" s="247" customFormat="1">
      <c r="A13" s="356">
        <f t="shared" si="0"/>
        <v>9</v>
      </c>
      <c r="B13" s="446" t="s">
        <v>483</v>
      </c>
      <c r="C13" s="447"/>
      <c r="D13" s="447"/>
      <c r="E13" s="448" t="s">
        <v>492</v>
      </c>
      <c r="F13" s="448" t="s">
        <v>493</v>
      </c>
      <c r="G13" s="447"/>
      <c r="H13" s="246"/>
      <c r="J13" s="245"/>
    </row>
    <row r="14" spans="1:11">
      <c r="A14" s="356">
        <f t="shared" si="0"/>
        <v>10</v>
      </c>
      <c r="B14" s="356" t="s">
        <v>486</v>
      </c>
      <c r="C14" s="444" t="s">
        <v>58</v>
      </c>
      <c r="D14" s="444"/>
      <c r="E14" s="450">
        <v>10.88318333333333</v>
      </c>
      <c r="F14" s="450">
        <v>-11.546379166666673</v>
      </c>
      <c r="G14" s="451"/>
      <c r="H14" s="248"/>
      <c r="I14" s="249"/>
      <c r="J14" s="245"/>
    </row>
    <row r="15" spans="1:11">
      <c r="A15" s="356">
        <f t="shared" si="0"/>
        <v>11</v>
      </c>
      <c r="B15" s="356" t="s">
        <v>487</v>
      </c>
      <c r="C15" s="444" t="s">
        <v>58</v>
      </c>
      <c r="D15" s="444"/>
      <c r="E15" s="450">
        <v>1.8543458333333342E-2</v>
      </c>
      <c r="F15" s="450">
        <v>-2.4931958333333341E-2</v>
      </c>
      <c r="G15" s="451"/>
      <c r="H15" s="250"/>
      <c r="I15" s="249"/>
    </row>
    <row r="16" spans="1:11">
      <c r="A16" s="356">
        <f t="shared" si="0"/>
        <v>12</v>
      </c>
      <c r="B16" s="356" t="s">
        <v>488</v>
      </c>
      <c r="C16" s="444" t="s">
        <v>58</v>
      </c>
      <c r="D16" s="444"/>
      <c r="E16" s="450">
        <v>125.42772499999997</v>
      </c>
      <c r="F16" s="450">
        <v>-133.07300416666666</v>
      </c>
      <c r="G16" s="451"/>
      <c r="H16" s="250"/>
      <c r="I16" s="249"/>
    </row>
    <row r="17" spans="1:41">
      <c r="A17" s="356">
        <f t="shared" si="0"/>
        <v>13</v>
      </c>
      <c r="B17" s="356" t="s">
        <v>489</v>
      </c>
      <c r="C17" s="444" t="s">
        <v>58</v>
      </c>
      <c r="D17" s="356"/>
      <c r="E17" s="450">
        <v>223.18981250000002</v>
      </c>
      <c r="F17" s="450">
        <v>-300.08194583333335</v>
      </c>
      <c r="G17" s="451"/>
      <c r="H17" s="250"/>
      <c r="I17" s="249"/>
    </row>
    <row r="18" spans="1:41">
      <c r="A18" s="356">
        <f t="shared" si="0"/>
        <v>14</v>
      </c>
      <c r="B18" s="356" t="s">
        <v>490</v>
      </c>
      <c r="C18" s="444" t="s">
        <v>58</v>
      </c>
      <c r="D18" s="356"/>
      <c r="E18" s="450">
        <v>3.5513875000000001</v>
      </c>
      <c r="F18" s="450">
        <v>-3.7674958333333337</v>
      </c>
      <c r="G18" s="451"/>
      <c r="H18" s="250"/>
      <c r="I18" s="249"/>
    </row>
    <row r="19" spans="1:41">
      <c r="A19" s="356">
        <f t="shared" si="0"/>
        <v>15</v>
      </c>
      <c r="B19" s="356" t="s">
        <v>491</v>
      </c>
      <c r="C19" s="444" t="s">
        <v>58</v>
      </c>
      <c r="D19" s="356"/>
      <c r="E19" s="450">
        <v>2.4823</v>
      </c>
      <c r="F19" s="450">
        <v>-3.3374541666666673</v>
      </c>
      <c r="G19" s="451"/>
      <c r="H19" s="250"/>
      <c r="I19" s="249"/>
    </row>
    <row r="20" spans="1:41">
      <c r="A20" s="356">
        <f t="shared" si="0"/>
        <v>16</v>
      </c>
      <c r="B20" s="356" t="s">
        <v>494</v>
      </c>
      <c r="C20" s="444" t="s">
        <v>58</v>
      </c>
      <c r="D20" s="356"/>
      <c r="E20" s="450">
        <v>145.71232083333325</v>
      </c>
      <c r="F20" s="450">
        <v>-154.59005833333336</v>
      </c>
      <c r="G20" s="451"/>
      <c r="H20" s="250"/>
      <c r="I20" s="249"/>
    </row>
    <row r="21" spans="1:41">
      <c r="A21" s="356">
        <f t="shared" si="0"/>
        <v>17</v>
      </c>
      <c r="B21" s="356" t="s">
        <v>495</v>
      </c>
      <c r="C21" s="444" t="s">
        <v>58</v>
      </c>
      <c r="D21" s="356"/>
      <c r="E21" s="450">
        <v>145.77459999999991</v>
      </c>
      <c r="F21" s="450">
        <v>-195.9985916666667</v>
      </c>
      <c r="G21" s="451"/>
      <c r="H21" s="250"/>
      <c r="I21" s="249"/>
    </row>
    <row r="22" spans="1:41" ht="15.75" customHeight="1">
      <c r="A22" s="356">
        <f t="shared" si="0"/>
        <v>18</v>
      </c>
      <c r="B22" s="356" t="s">
        <v>496</v>
      </c>
      <c r="C22" s="444" t="s">
        <v>58</v>
      </c>
      <c r="D22" s="356"/>
      <c r="E22" s="450">
        <v>22.955508333333327</v>
      </c>
      <c r="F22" s="450">
        <v>-24.35415416666666</v>
      </c>
      <c r="G22" s="451"/>
      <c r="H22" s="250"/>
    </row>
    <row r="23" spans="1:41">
      <c r="A23" s="356">
        <f t="shared" si="0"/>
        <v>19</v>
      </c>
      <c r="B23" s="356" t="s">
        <v>497</v>
      </c>
      <c r="C23" s="444" t="s">
        <v>58</v>
      </c>
      <c r="D23" s="356"/>
      <c r="E23" s="450">
        <v>3.7960041666666687E-3</v>
      </c>
      <c r="F23" s="450">
        <v>-5.1036666666666652E-3</v>
      </c>
      <c r="G23" s="451"/>
      <c r="H23" s="250"/>
    </row>
    <row r="24" spans="1:41">
      <c r="A24" s="356">
        <f t="shared" si="0"/>
        <v>20</v>
      </c>
      <c r="B24" s="356"/>
      <c r="C24" s="444"/>
      <c r="D24" s="356"/>
      <c r="E24" s="450"/>
      <c r="F24" s="450"/>
      <c r="G24" s="356"/>
      <c r="H24" s="249"/>
      <c r="I24" s="251"/>
      <c r="J24" s="929"/>
      <c r="K24" s="929"/>
      <c r="L24" s="929"/>
      <c r="M24" s="930"/>
      <c r="N24" s="929"/>
      <c r="O24" s="929"/>
      <c r="P24" s="251"/>
      <c r="Q24" s="251"/>
      <c r="AB24" s="249"/>
      <c r="AC24" s="240"/>
    </row>
    <row r="25" spans="1:41">
      <c r="A25" s="356">
        <f t="shared" si="0"/>
        <v>21</v>
      </c>
      <c r="B25" s="446" t="s">
        <v>509</v>
      </c>
      <c r="C25" s="444"/>
      <c r="D25" s="356"/>
      <c r="E25" s="450"/>
      <c r="F25" s="450"/>
      <c r="G25" s="356"/>
      <c r="H25" s="249"/>
      <c r="J25" s="811"/>
      <c r="K25" s="811"/>
      <c r="L25" s="811"/>
      <c r="M25" s="812"/>
      <c r="N25" s="812"/>
      <c r="O25" s="812"/>
      <c r="P25" s="256"/>
      <c r="Q25" s="182"/>
      <c r="AB25" s="249"/>
      <c r="AC25" s="240"/>
    </row>
    <row r="26" spans="1:41">
      <c r="A26" s="356">
        <f t="shared" si="0"/>
        <v>22</v>
      </c>
      <c r="B26" s="356" t="s">
        <v>149</v>
      </c>
      <c r="C26" s="444" t="s">
        <v>58</v>
      </c>
      <c r="D26" s="452">
        <f>E26*D10*12</f>
        <v>22924.156520620068</v>
      </c>
      <c r="E26" s="453">
        <v>236.72197976683259</v>
      </c>
      <c r="F26" s="450"/>
      <c r="G26" s="454"/>
      <c r="H26" s="248"/>
      <c r="I26" s="242"/>
      <c r="J26" s="813"/>
      <c r="K26" s="814"/>
      <c r="L26" s="815"/>
      <c r="M26" s="931"/>
      <c r="N26" s="931"/>
      <c r="O26" s="931"/>
      <c r="P26" s="242"/>
      <c r="Q26" s="182"/>
      <c r="AB26" s="257"/>
      <c r="AC26" s="240"/>
    </row>
    <row r="27" spans="1:41">
      <c r="A27" s="356">
        <f t="shared" si="0"/>
        <v>23</v>
      </c>
      <c r="B27" s="356" t="s">
        <v>150</v>
      </c>
      <c r="C27" s="444" t="s">
        <v>58</v>
      </c>
      <c r="D27" s="452">
        <f>E27*D11*12</f>
        <v>14970.298000454492</v>
      </c>
      <c r="E27" s="453">
        <v>236.72197976683259</v>
      </c>
      <c r="F27" s="450"/>
      <c r="G27" s="356"/>
      <c r="I27" s="252"/>
      <c r="J27" s="807"/>
      <c r="K27" s="809"/>
      <c r="L27" s="808"/>
      <c r="M27" s="816"/>
      <c r="N27" s="810"/>
      <c r="O27" s="817"/>
      <c r="P27" s="242"/>
      <c r="Q27" s="182"/>
      <c r="AC27" s="240"/>
      <c r="AE27" s="246"/>
      <c r="AF27" s="246"/>
      <c r="AK27" s="258"/>
      <c r="AL27" s="258"/>
      <c r="AM27" s="258"/>
      <c r="AN27" s="258"/>
      <c r="AO27" s="258"/>
    </row>
    <row r="28" spans="1:41">
      <c r="A28" s="356">
        <f t="shared" si="0"/>
        <v>24</v>
      </c>
      <c r="B28" s="446" t="s">
        <v>498</v>
      </c>
      <c r="C28" s="447" t="s">
        <v>501</v>
      </c>
      <c r="D28" s="356"/>
      <c r="E28" s="450"/>
      <c r="F28" s="450"/>
      <c r="G28" s="455">
        <f>ROUND((D26*1000)/(E26*8760),2)</f>
        <v>11.05</v>
      </c>
      <c r="H28" s="253"/>
      <c r="J28" s="807"/>
      <c r="K28" s="809"/>
      <c r="L28" s="808"/>
      <c r="M28" s="816"/>
      <c r="N28" s="818"/>
      <c r="O28" s="817"/>
      <c r="P28" s="242"/>
      <c r="Q28" s="182"/>
      <c r="AC28" s="240"/>
      <c r="AE28" s="259"/>
      <c r="AF28" s="259"/>
      <c r="AG28" s="242"/>
      <c r="AH28" s="242"/>
      <c r="AM28" s="239"/>
      <c r="AN28" s="260"/>
    </row>
    <row r="29" spans="1:41">
      <c r="A29" s="356">
        <f t="shared" si="0"/>
        <v>25</v>
      </c>
      <c r="B29" s="356" t="s">
        <v>502</v>
      </c>
      <c r="C29" s="444" t="s">
        <v>501</v>
      </c>
      <c r="D29" s="356"/>
      <c r="E29" s="450"/>
      <c r="F29" s="450"/>
      <c r="G29" s="449">
        <f>ROUND(G28*(1+0.15),2)</f>
        <v>12.71</v>
      </c>
      <c r="H29" s="254"/>
      <c r="J29" s="807"/>
      <c r="K29" s="809"/>
      <c r="L29" s="808"/>
      <c r="M29" s="816"/>
      <c r="N29" s="818"/>
      <c r="O29" s="817"/>
      <c r="P29" s="242"/>
      <c r="Q29" s="182"/>
      <c r="AC29" s="240"/>
      <c r="AE29" s="259"/>
      <c r="AF29" s="259"/>
      <c r="AG29" s="242"/>
      <c r="AH29" s="242"/>
      <c r="AM29" s="261"/>
      <c r="AN29" s="262"/>
    </row>
    <row r="30" spans="1:41">
      <c r="A30" s="356">
        <f t="shared" si="0"/>
        <v>26</v>
      </c>
      <c r="B30" s="446" t="s">
        <v>499</v>
      </c>
      <c r="C30" s="447" t="s">
        <v>501</v>
      </c>
      <c r="D30" s="356"/>
      <c r="E30" s="445"/>
      <c r="F30" s="445"/>
      <c r="G30" s="455">
        <f>ROUND((D27*1000)/(E27*8760),2)</f>
        <v>7.22</v>
      </c>
      <c r="H30" s="253"/>
      <c r="J30" s="807"/>
      <c r="K30" s="809"/>
      <c r="L30" s="808"/>
      <c r="M30" s="816"/>
      <c r="N30" s="810"/>
      <c r="O30" s="817"/>
      <c r="P30" s="242"/>
      <c r="Q30" s="182"/>
      <c r="AC30" s="240"/>
      <c r="AE30" s="259"/>
      <c r="AF30" s="259"/>
      <c r="AG30" s="242"/>
      <c r="AH30" s="242"/>
    </row>
    <row r="31" spans="1:41">
      <c r="A31" s="356">
        <f t="shared" si="0"/>
        <v>27</v>
      </c>
      <c r="B31" s="356" t="s">
        <v>503</v>
      </c>
      <c r="C31" s="444" t="s">
        <v>501</v>
      </c>
      <c r="D31" s="356"/>
      <c r="E31" s="445"/>
      <c r="F31" s="445"/>
      <c r="G31" s="449">
        <f>ROUND(G30*(1+0.15),2)</f>
        <v>8.3000000000000007</v>
      </c>
      <c r="H31" s="254"/>
      <c r="J31" s="807"/>
      <c r="K31" s="809"/>
      <c r="L31" s="808"/>
      <c r="M31" s="816"/>
      <c r="N31" s="810"/>
      <c r="O31" s="817"/>
      <c r="P31" s="242"/>
      <c r="Q31" s="182"/>
      <c r="AC31" s="240"/>
      <c r="AE31" s="259"/>
      <c r="AF31" s="259"/>
      <c r="AM31" s="239"/>
      <c r="AN31" s="263"/>
      <c r="AO31" s="185"/>
    </row>
    <row r="32" spans="1:41">
      <c r="A32" s="356">
        <f t="shared" si="0"/>
        <v>28</v>
      </c>
      <c r="B32" s="356"/>
      <c r="C32" s="444"/>
      <c r="D32" s="356"/>
      <c r="E32" s="445"/>
      <c r="F32" s="445"/>
      <c r="G32" s="356"/>
      <c r="J32" s="813"/>
      <c r="K32" s="809"/>
      <c r="L32" s="808"/>
      <c r="M32" s="931"/>
      <c r="N32" s="931"/>
      <c r="O32" s="819"/>
      <c r="P32" s="264"/>
      <c r="Q32" s="265"/>
      <c r="AC32" s="240"/>
      <c r="AE32" s="259"/>
      <c r="AF32" s="259"/>
      <c r="AM32" s="239"/>
      <c r="AN32" s="263"/>
      <c r="AO32" s="185"/>
    </row>
    <row r="33" spans="1:41">
      <c r="A33" s="356">
        <f t="shared" si="0"/>
        <v>29</v>
      </c>
      <c r="B33" s="446" t="s">
        <v>508</v>
      </c>
      <c r="C33" s="444"/>
      <c r="D33" s="356"/>
      <c r="E33" s="445"/>
      <c r="F33" s="445"/>
      <c r="G33" s="356"/>
      <c r="J33" s="806"/>
      <c r="K33" s="807"/>
      <c r="L33" s="808"/>
      <c r="M33" s="809"/>
      <c r="N33" s="807"/>
      <c r="O33" s="807"/>
      <c r="P33" s="242"/>
      <c r="Q33" s="182"/>
      <c r="AC33" s="240"/>
      <c r="AD33" s="247"/>
      <c r="AE33" s="266"/>
      <c r="AF33" s="267"/>
      <c r="AG33" s="242"/>
    </row>
    <row r="34" spans="1:41">
      <c r="A34" s="356">
        <f t="shared" si="0"/>
        <v>30</v>
      </c>
      <c r="B34" s="356" t="s">
        <v>504</v>
      </c>
      <c r="C34" s="444" t="s">
        <v>58</v>
      </c>
      <c r="D34" s="452">
        <f>(D6*E20-D7*F20)*12</f>
        <v>14393.694005761869</v>
      </c>
      <c r="E34" s="887">
        <v>5892.0936659374765</v>
      </c>
      <c r="F34" s="445"/>
      <c r="G34" s="356"/>
      <c r="J34" s="929"/>
      <c r="K34" s="929"/>
      <c r="L34" s="929"/>
      <c r="M34" s="807"/>
      <c r="N34" s="807"/>
      <c r="O34" s="807"/>
      <c r="Q34" s="256"/>
      <c r="AC34" s="240"/>
      <c r="AM34" s="239"/>
      <c r="AN34" s="263"/>
      <c r="AO34" s="185"/>
    </row>
    <row r="35" spans="1:41" ht="18" customHeight="1">
      <c r="A35" s="356">
        <f t="shared" si="0"/>
        <v>31</v>
      </c>
      <c r="B35" s="356" t="s">
        <v>579</v>
      </c>
      <c r="C35" s="444"/>
      <c r="D35" s="452">
        <v>122.46765674121241</v>
      </c>
      <c r="E35" s="456"/>
      <c r="F35" s="445"/>
      <c r="G35" s="356"/>
      <c r="J35" s="807"/>
      <c r="K35" s="808"/>
      <c r="L35" s="807"/>
      <c r="M35" s="807"/>
      <c r="N35" s="807"/>
      <c r="O35" s="807"/>
      <c r="AC35" s="240"/>
      <c r="AM35" s="239"/>
      <c r="AN35" s="263"/>
      <c r="AO35" s="185"/>
    </row>
    <row r="36" spans="1:41">
      <c r="A36" s="356">
        <f t="shared" si="0"/>
        <v>32</v>
      </c>
      <c r="B36" s="356" t="s">
        <v>505</v>
      </c>
      <c r="C36" s="444" t="s">
        <v>58</v>
      </c>
      <c r="D36" s="452">
        <f>(D8*E21-D9*F21)*12</f>
        <v>9685.0320723024415</v>
      </c>
      <c r="E36" s="445"/>
      <c r="F36" s="445"/>
      <c r="G36" s="356"/>
      <c r="J36" s="807"/>
      <c r="K36" s="810"/>
      <c r="L36" s="807"/>
      <c r="M36" s="807"/>
      <c r="N36" s="807"/>
      <c r="O36" s="807"/>
      <c r="AC36" s="240"/>
      <c r="AE36" s="267"/>
      <c r="AF36" s="266"/>
      <c r="AG36" s="242"/>
      <c r="AM36" s="239"/>
      <c r="AN36" s="263"/>
      <c r="AO36" s="185"/>
    </row>
    <row r="37" spans="1:41">
      <c r="A37" s="356">
        <f t="shared" si="0"/>
        <v>33</v>
      </c>
      <c r="B37" s="356" t="s">
        <v>506</v>
      </c>
      <c r="C37" s="444"/>
      <c r="D37" s="452">
        <f>SUM(D34:D36)</f>
        <v>24201.193734805522</v>
      </c>
      <c r="E37" s="445"/>
      <c r="F37" s="445"/>
      <c r="G37" s="356"/>
      <c r="J37" s="807"/>
      <c r="K37" s="810"/>
      <c r="L37" s="807"/>
      <c r="M37" s="807"/>
      <c r="N37" s="807"/>
      <c r="O37" s="807"/>
      <c r="AB37" s="245"/>
      <c r="AC37" s="240"/>
      <c r="AM37" s="239"/>
      <c r="AN37" s="263"/>
      <c r="AO37" s="185"/>
    </row>
    <row r="38" spans="1:41">
      <c r="A38" s="356">
        <f t="shared" si="0"/>
        <v>34</v>
      </c>
      <c r="B38" s="446" t="s">
        <v>675</v>
      </c>
      <c r="C38" s="447" t="s">
        <v>501</v>
      </c>
      <c r="D38" s="356"/>
      <c r="E38" s="445"/>
      <c r="F38" s="445"/>
      <c r="G38" s="888">
        <f>ROUND((D37*1000)/(8760*E34),2)</f>
        <v>0.47</v>
      </c>
      <c r="H38" s="253"/>
      <c r="AC38" s="240"/>
    </row>
    <row r="39" spans="1:41">
      <c r="A39" s="356">
        <f t="shared" si="0"/>
        <v>35</v>
      </c>
      <c r="B39" s="356"/>
      <c r="C39" s="444"/>
      <c r="D39" s="356"/>
      <c r="E39" s="445"/>
      <c r="F39" s="445"/>
      <c r="G39" s="356"/>
      <c r="H39" s="254"/>
      <c r="AB39" s="255"/>
      <c r="AC39" s="240"/>
    </row>
    <row r="40" spans="1:41">
      <c r="A40" s="356">
        <f t="shared" si="0"/>
        <v>36</v>
      </c>
      <c r="B40" s="446" t="s">
        <v>507</v>
      </c>
      <c r="C40" s="444"/>
      <c r="D40" s="356"/>
      <c r="E40" s="445"/>
      <c r="F40" s="445"/>
      <c r="G40" s="356"/>
      <c r="H40" s="254"/>
    </row>
    <row r="41" spans="1:41" ht="18" customHeight="1">
      <c r="A41" s="356">
        <f>A40+1</f>
        <v>37</v>
      </c>
      <c r="B41" s="356" t="s">
        <v>518</v>
      </c>
      <c r="C41" s="444" t="s">
        <v>510</v>
      </c>
      <c r="D41" s="452">
        <f>12*(D6*E14+D8*E15)</f>
        <v>1025.0113963599997</v>
      </c>
      <c r="E41" s="456">
        <v>3102.1508934480476</v>
      </c>
      <c r="F41" s="445"/>
      <c r="G41" s="356"/>
      <c r="AL41" s="268"/>
      <c r="AM41" s="269"/>
      <c r="AN41" s="269"/>
      <c r="AO41" s="269"/>
    </row>
    <row r="42" spans="1:41" ht="18" customHeight="1">
      <c r="A42" s="356">
        <f t="shared" si="0"/>
        <v>38</v>
      </c>
      <c r="B42" s="356" t="s">
        <v>580</v>
      </c>
      <c r="C42" s="444"/>
      <c r="D42" s="457">
        <v>-219.87183632764552</v>
      </c>
      <c r="E42" s="456"/>
      <c r="F42" s="445"/>
      <c r="G42" s="356"/>
      <c r="AL42" s="268"/>
      <c r="AM42" s="269"/>
      <c r="AN42" s="269"/>
      <c r="AO42" s="269"/>
    </row>
    <row r="43" spans="1:41" ht="18" customHeight="1">
      <c r="A43" s="356">
        <f t="shared" si="0"/>
        <v>39</v>
      </c>
      <c r="B43" s="356" t="s">
        <v>519</v>
      </c>
      <c r="C43" s="444" t="s">
        <v>510</v>
      </c>
      <c r="D43" s="452">
        <f>-12*(D7*F14+D9*F15)</f>
        <v>51.279239687680679</v>
      </c>
      <c r="E43" s="456">
        <v>2728.7987421383655</v>
      </c>
      <c r="F43" s="445"/>
      <c r="G43" s="356"/>
      <c r="AM43" s="270"/>
      <c r="AN43" s="270"/>
      <c r="AO43" s="270"/>
    </row>
    <row r="44" spans="1:41" ht="18" customHeight="1">
      <c r="A44" s="356">
        <f t="shared" si="0"/>
        <v>40</v>
      </c>
      <c r="B44" s="356" t="s">
        <v>580</v>
      </c>
      <c r="C44" s="444"/>
      <c r="D44" s="457">
        <v>-10.99974169619469</v>
      </c>
      <c r="E44" s="456"/>
      <c r="F44" s="445"/>
      <c r="G44" s="356"/>
      <c r="AM44" s="270"/>
      <c r="AN44" s="270"/>
      <c r="AO44" s="270"/>
    </row>
    <row r="45" spans="1:41" ht="18" customHeight="1">
      <c r="A45" s="356">
        <f t="shared" si="0"/>
        <v>41</v>
      </c>
      <c r="B45" s="446" t="s">
        <v>676</v>
      </c>
      <c r="C45" s="447"/>
      <c r="D45" s="356"/>
      <c r="E45" s="448"/>
      <c r="F45" s="445"/>
      <c r="G45" s="458">
        <f>ROUND((((D41+D42)*1000)/E41)/12,3)</f>
        <v>21.629000000000001</v>
      </c>
      <c r="J45" s="275"/>
      <c r="K45" s="242"/>
      <c r="AM45" s="270"/>
      <c r="AN45" s="270"/>
      <c r="AO45" s="270"/>
    </row>
    <row r="46" spans="1:41">
      <c r="A46" s="356">
        <f t="shared" si="0"/>
        <v>42</v>
      </c>
      <c r="B46" s="446" t="s">
        <v>677</v>
      </c>
      <c r="C46" s="447"/>
      <c r="D46" s="356"/>
      <c r="E46" s="448"/>
      <c r="F46" s="445"/>
      <c r="G46" s="458">
        <f>ROUND((((D43+D44)*1000)/E43)/12,3)</f>
        <v>1.23</v>
      </c>
      <c r="K46" s="242"/>
      <c r="AM46" s="270"/>
      <c r="AN46" s="270"/>
      <c r="AO46" s="270"/>
    </row>
    <row r="47" spans="1:41">
      <c r="A47" s="356">
        <f t="shared" si="0"/>
        <v>43</v>
      </c>
      <c r="B47" s="356"/>
      <c r="C47" s="444"/>
      <c r="D47" s="356"/>
      <c r="E47" s="445"/>
      <c r="F47" s="445"/>
      <c r="G47" s="356"/>
      <c r="AM47" s="270"/>
      <c r="AN47" s="270"/>
      <c r="AO47" s="270"/>
    </row>
    <row r="48" spans="1:41" ht="15.75" customHeight="1">
      <c r="A48" s="356">
        <f>A47+1</f>
        <v>44</v>
      </c>
      <c r="B48" s="446" t="s">
        <v>511</v>
      </c>
      <c r="C48" s="444"/>
      <c r="D48" s="356"/>
      <c r="E48" s="445"/>
      <c r="F48" s="445"/>
      <c r="G48" s="356"/>
      <c r="AL48" s="925"/>
      <c r="AM48" s="925"/>
      <c r="AN48" s="925"/>
      <c r="AO48" s="925"/>
    </row>
    <row r="49" spans="1:41" ht="15.75" customHeight="1">
      <c r="A49" s="356">
        <f t="shared" si="0"/>
        <v>45</v>
      </c>
      <c r="B49" s="356" t="s">
        <v>512</v>
      </c>
      <c r="C49" s="444" t="s">
        <v>58</v>
      </c>
      <c r="D49" s="452">
        <f>(D6*E16-D7*F16)*12</f>
        <v>12389.964592239299</v>
      </c>
      <c r="E49" s="887">
        <v>2833.896666666667</v>
      </c>
      <c r="F49" s="445"/>
      <c r="G49" s="356"/>
      <c r="H49" s="253"/>
      <c r="AL49" s="268"/>
      <c r="AM49" s="269"/>
      <c r="AN49" s="269"/>
      <c r="AO49" s="269"/>
    </row>
    <row r="50" spans="1:41" ht="18.600000000000001">
      <c r="A50" s="356">
        <f t="shared" si="0"/>
        <v>46</v>
      </c>
      <c r="B50" s="356" t="s">
        <v>581</v>
      </c>
      <c r="C50" s="444"/>
      <c r="D50" s="452">
        <v>105.41907658386565</v>
      </c>
      <c r="E50" s="456"/>
      <c r="F50" s="445"/>
      <c r="G50" s="356"/>
      <c r="H50" s="253"/>
      <c r="AL50" s="268"/>
      <c r="AM50" s="269"/>
      <c r="AN50" s="269"/>
      <c r="AO50" s="269"/>
    </row>
    <row r="51" spans="1:41">
      <c r="A51" s="356">
        <f t="shared" si="0"/>
        <v>47</v>
      </c>
      <c r="B51" s="356" t="s">
        <v>513</v>
      </c>
      <c r="C51" s="444" t="s">
        <v>58</v>
      </c>
      <c r="D51" s="452">
        <f>(D8*E17-D9*F17)*12</f>
        <v>14828.358273305399</v>
      </c>
      <c r="E51" s="459"/>
      <c r="F51" s="445"/>
      <c r="G51" s="356"/>
      <c r="H51" s="253"/>
      <c r="AM51" s="238"/>
      <c r="AN51" s="271"/>
      <c r="AO51" s="271"/>
    </row>
    <row r="52" spans="1:41">
      <c r="A52" s="356">
        <f t="shared" si="0"/>
        <v>48</v>
      </c>
      <c r="B52" s="446" t="s">
        <v>678</v>
      </c>
      <c r="C52" s="447" t="s">
        <v>514</v>
      </c>
      <c r="D52" s="356"/>
      <c r="E52" s="445"/>
      <c r="F52" s="445"/>
      <c r="G52" s="889">
        <f>ROUNDUP((SUM(D49:D51)/E49)/12,3)+0.002</f>
        <v>0.80600000000000005</v>
      </c>
      <c r="AM52" s="238"/>
      <c r="AN52" s="271"/>
      <c r="AO52" s="271"/>
    </row>
    <row r="53" spans="1:41">
      <c r="A53" s="356">
        <f t="shared" si="0"/>
        <v>49</v>
      </c>
      <c r="B53" s="356"/>
      <c r="C53" s="444"/>
      <c r="D53" s="356"/>
      <c r="E53" s="445"/>
      <c r="F53" s="445"/>
      <c r="G53" s="356"/>
      <c r="AM53" s="238"/>
      <c r="AN53" s="271"/>
      <c r="AO53" s="271"/>
    </row>
    <row r="54" spans="1:41">
      <c r="A54" s="356">
        <f t="shared" si="0"/>
        <v>50</v>
      </c>
      <c r="B54" s="446" t="s">
        <v>515</v>
      </c>
      <c r="C54" s="444"/>
      <c r="D54" s="356"/>
      <c r="E54" s="445"/>
      <c r="F54" s="445"/>
      <c r="G54" s="356"/>
      <c r="AM54" s="238"/>
      <c r="AN54" s="271"/>
      <c r="AO54" s="271"/>
    </row>
    <row r="55" spans="1:41">
      <c r="A55" s="356">
        <f t="shared" si="0"/>
        <v>51</v>
      </c>
      <c r="B55" s="356" t="s">
        <v>516</v>
      </c>
      <c r="C55" s="444" t="s">
        <v>58</v>
      </c>
      <c r="D55" s="452">
        <f>(D6*E18-D7*F18)*12</f>
        <v>350.81051105181916</v>
      </c>
      <c r="E55" s="887">
        <v>101.87</v>
      </c>
      <c r="F55" s="445"/>
      <c r="G55" s="356"/>
      <c r="I55" s="247"/>
      <c r="AM55" s="238"/>
      <c r="AN55" s="271"/>
      <c r="AO55" s="271"/>
    </row>
    <row r="56" spans="1:41" ht="18" customHeight="1">
      <c r="A56" s="356">
        <f t="shared" si="0"/>
        <v>52</v>
      </c>
      <c r="B56" s="356" t="s">
        <v>581</v>
      </c>
      <c r="C56" s="444"/>
      <c r="D56" s="452">
        <v>2.984844698762195</v>
      </c>
      <c r="E56" s="456"/>
      <c r="F56" s="445"/>
      <c r="G56" s="356"/>
      <c r="I56" s="247"/>
      <c r="AM56" s="238"/>
      <c r="AN56" s="271"/>
      <c r="AO56" s="271"/>
    </row>
    <row r="57" spans="1:41">
      <c r="A57" s="356">
        <f t="shared" si="0"/>
        <v>53</v>
      </c>
      <c r="B57" s="356" t="s">
        <v>517</v>
      </c>
      <c r="C57" s="444" t="s">
        <v>58</v>
      </c>
      <c r="D57" s="452">
        <f>(D8*E18-D9*F18)*12</f>
        <v>231.48389105181923</v>
      </c>
      <c r="E57" s="459"/>
      <c r="F57" s="445"/>
      <c r="G57" s="356"/>
      <c r="I57" s="255"/>
    </row>
    <row r="58" spans="1:41">
      <c r="A58" s="356">
        <f t="shared" si="0"/>
        <v>54</v>
      </c>
      <c r="B58" s="446" t="s">
        <v>679</v>
      </c>
      <c r="C58" s="447" t="s">
        <v>514</v>
      </c>
      <c r="D58" s="356"/>
      <c r="E58" s="445"/>
      <c r="F58" s="445"/>
      <c r="G58" s="889">
        <f>ROUND((SUM(D55:D57)/E55)/12,3)</f>
        <v>0.47899999999999998</v>
      </c>
    </row>
    <row r="59" spans="1:41">
      <c r="A59" s="356">
        <f t="shared" si="0"/>
        <v>55</v>
      </c>
      <c r="B59" s="356"/>
      <c r="C59" s="444"/>
      <c r="D59" s="356"/>
      <c r="E59" s="445"/>
      <c r="F59" s="445"/>
      <c r="G59" s="356"/>
      <c r="AE59" s="246"/>
      <c r="AF59" s="246"/>
      <c r="AG59" s="272"/>
      <c r="AO59" s="241"/>
    </row>
    <row r="60" spans="1:41" ht="15.75" customHeight="1">
      <c r="A60" s="356">
        <f t="shared" si="0"/>
        <v>56</v>
      </c>
      <c r="B60" s="446" t="s">
        <v>582</v>
      </c>
      <c r="C60" s="444" t="s">
        <v>558</v>
      </c>
      <c r="D60" s="452">
        <v>0</v>
      </c>
      <c r="E60" s="445">
        <v>0</v>
      </c>
      <c r="F60" s="445"/>
      <c r="G60" s="449">
        <v>0</v>
      </c>
      <c r="AG60" s="273"/>
      <c r="AO60" s="241"/>
    </row>
    <row r="61" spans="1:41">
      <c r="A61" s="356">
        <f t="shared" si="0"/>
        <v>57</v>
      </c>
      <c r="B61" s="356"/>
      <c r="C61" s="444" t="s">
        <v>108</v>
      </c>
      <c r="D61" s="356"/>
      <c r="E61" s="445"/>
      <c r="F61" s="445"/>
      <c r="G61" s="356"/>
      <c r="AO61" s="241"/>
    </row>
    <row r="62" spans="1:41" ht="24.75" customHeight="1">
      <c r="A62" s="462" t="s">
        <v>569</v>
      </c>
      <c r="B62" s="356" t="s">
        <v>568</v>
      </c>
      <c r="C62" s="444"/>
      <c r="D62" s="460"/>
      <c r="E62" s="445"/>
      <c r="F62" s="445"/>
      <c r="G62" s="461"/>
      <c r="AC62" s="240"/>
      <c r="AG62" s="246"/>
      <c r="AH62" s="246"/>
      <c r="AI62" s="272"/>
      <c r="AN62" s="241"/>
    </row>
    <row r="63" spans="1:41" ht="32.25" customHeight="1">
      <c r="A63" s="463" t="s">
        <v>572</v>
      </c>
      <c r="B63" s="923" t="s">
        <v>575</v>
      </c>
      <c r="C63" s="924"/>
      <c r="D63" s="924"/>
      <c r="E63" s="924"/>
      <c r="F63" s="924"/>
      <c r="G63" s="924"/>
      <c r="AC63" s="240"/>
      <c r="AI63" s="273"/>
      <c r="AN63" s="241"/>
    </row>
    <row r="64" spans="1:41" ht="30.75" customHeight="1">
      <c r="A64" s="463" t="s">
        <v>577</v>
      </c>
      <c r="B64" s="923" t="s">
        <v>576</v>
      </c>
      <c r="C64" s="924"/>
      <c r="D64" s="924"/>
      <c r="E64" s="924"/>
      <c r="F64" s="924"/>
      <c r="G64" s="924"/>
      <c r="AC64" s="240"/>
      <c r="AN64" s="241"/>
    </row>
    <row r="65" spans="1:41" ht="18">
      <c r="A65" s="356">
        <f>A61+1</f>
        <v>58</v>
      </c>
      <c r="B65" s="446" t="s">
        <v>680</v>
      </c>
      <c r="C65" s="444"/>
      <c r="D65" s="356"/>
      <c r="E65" s="445"/>
      <c r="F65" s="445"/>
      <c r="G65" s="356"/>
      <c r="AO65" s="241"/>
    </row>
    <row r="66" spans="1:41">
      <c r="A66" s="356">
        <f t="shared" si="0"/>
        <v>59</v>
      </c>
      <c r="B66" s="446" t="s">
        <v>681</v>
      </c>
      <c r="C66" s="447"/>
      <c r="D66" s="447"/>
      <c r="E66" s="448"/>
      <c r="F66" s="448"/>
      <c r="G66" s="447"/>
    </row>
    <row r="67" spans="1:41" ht="18.600000000000001">
      <c r="A67" s="356">
        <f t="shared" si="0"/>
        <v>60</v>
      </c>
      <c r="B67" s="356" t="s">
        <v>583</v>
      </c>
      <c r="C67" s="444" t="s">
        <v>34</v>
      </c>
      <c r="D67" s="449">
        <v>7.66</v>
      </c>
      <c r="E67" s="445"/>
      <c r="F67" s="445"/>
      <c r="G67" s="444"/>
    </row>
    <row r="68" spans="1:41" ht="18.600000000000001">
      <c r="A68" s="356">
        <f t="shared" si="0"/>
        <v>61</v>
      </c>
      <c r="B68" s="356" t="s">
        <v>584</v>
      </c>
      <c r="C68" s="444" t="s">
        <v>34</v>
      </c>
      <c r="D68" s="449">
        <v>0.37</v>
      </c>
      <c r="E68" s="445"/>
      <c r="F68" s="445"/>
      <c r="G68" s="444"/>
      <c r="H68" s="253"/>
    </row>
    <row r="69" spans="1:41" ht="18.600000000000001">
      <c r="A69" s="356">
        <f t="shared" si="0"/>
        <v>62</v>
      </c>
      <c r="B69" s="356" t="s">
        <v>585</v>
      </c>
      <c r="C69" s="444" t="s">
        <v>34</v>
      </c>
      <c r="D69" s="449">
        <v>4.8600000000000003</v>
      </c>
      <c r="E69" s="445"/>
      <c r="F69" s="445"/>
      <c r="G69" s="444"/>
      <c r="H69" s="254"/>
      <c r="I69" s="255"/>
    </row>
    <row r="70" spans="1:41" ht="18.600000000000001">
      <c r="A70" s="356">
        <f t="shared" ref="A70:A111" si="1">A69+1</f>
        <v>63</v>
      </c>
      <c r="B70" s="356" t="s">
        <v>586</v>
      </c>
      <c r="C70" s="444" t="s">
        <v>34</v>
      </c>
      <c r="D70" s="449">
        <v>0.1</v>
      </c>
      <c r="E70" s="445"/>
      <c r="F70" s="445"/>
      <c r="G70" s="444"/>
      <c r="H70" s="254"/>
    </row>
    <row r="71" spans="1:41">
      <c r="A71" s="356">
        <f t="shared" si="1"/>
        <v>64</v>
      </c>
      <c r="B71" s="356" t="s">
        <v>149</v>
      </c>
      <c r="C71" s="444" t="s">
        <v>34</v>
      </c>
      <c r="D71" s="449">
        <v>8.07</v>
      </c>
      <c r="E71" s="445"/>
      <c r="F71" s="445"/>
      <c r="G71" s="444"/>
    </row>
    <row r="72" spans="1:41">
      <c r="A72" s="356">
        <f t="shared" si="1"/>
        <v>65</v>
      </c>
      <c r="B72" s="356" t="s">
        <v>150</v>
      </c>
      <c r="C72" s="444" t="s">
        <v>34</v>
      </c>
      <c r="D72" s="449">
        <v>5.27</v>
      </c>
      <c r="E72" s="445"/>
      <c r="F72" s="445"/>
      <c r="G72" s="444"/>
    </row>
    <row r="73" spans="1:41">
      <c r="A73" s="356">
        <f t="shared" si="1"/>
        <v>66</v>
      </c>
      <c r="B73" s="356"/>
      <c r="C73" s="444"/>
      <c r="D73" s="444"/>
      <c r="E73" s="445"/>
      <c r="F73" s="445"/>
      <c r="G73" s="444"/>
    </row>
    <row r="74" spans="1:41">
      <c r="A74" s="356">
        <f t="shared" si="1"/>
        <v>67</v>
      </c>
      <c r="B74" s="446" t="s">
        <v>483</v>
      </c>
      <c r="C74" s="447"/>
      <c r="D74" s="447"/>
      <c r="E74" s="448" t="s">
        <v>492</v>
      </c>
      <c r="F74" s="448" t="s">
        <v>493</v>
      </c>
      <c r="G74" s="447"/>
    </row>
    <row r="75" spans="1:41">
      <c r="A75" s="356">
        <f t="shared" si="1"/>
        <v>68</v>
      </c>
      <c r="B75" s="356" t="s">
        <v>486</v>
      </c>
      <c r="C75" s="444" t="s">
        <v>58</v>
      </c>
      <c r="D75" s="444"/>
      <c r="E75" s="450">
        <v>10.88318333333333</v>
      </c>
      <c r="F75" s="450">
        <v>-11.546379166666673</v>
      </c>
      <c r="G75" s="451"/>
    </row>
    <row r="76" spans="1:41">
      <c r="A76" s="356">
        <f t="shared" si="1"/>
        <v>69</v>
      </c>
      <c r="B76" s="356" t="s">
        <v>487</v>
      </c>
      <c r="C76" s="444" t="s">
        <v>58</v>
      </c>
      <c r="D76" s="444"/>
      <c r="E76" s="450">
        <v>1.8543458333333342E-2</v>
      </c>
      <c r="F76" s="450">
        <v>-2.4931958333333341E-2</v>
      </c>
      <c r="G76" s="451"/>
    </row>
    <row r="77" spans="1:41">
      <c r="A77" s="356">
        <f t="shared" si="1"/>
        <v>70</v>
      </c>
      <c r="B77" s="356" t="s">
        <v>488</v>
      </c>
      <c r="C77" s="444" t="s">
        <v>58</v>
      </c>
      <c r="D77" s="444"/>
      <c r="E77" s="450">
        <v>125.42772499999997</v>
      </c>
      <c r="F77" s="450">
        <v>-133.07300416666666</v>
      </c>
      <c r="G77" s="451"/>
    </row>
    <row r="78" spans="1:41">
      <c r="A78" s="356">
        <f t="shared" si="1"/>
        <v>71</v>
      </c>
      <c r="B78" s="356" t="s">
        <v>489</v>
      </c>
      <c r="C78" s="444" t="s">
        <v>58</v>
      </c>
      <c r="D78" s="356"/>
      <c r="E78" s="450">
        <v>223.18981250000002</v>
      </c>
      <c r="F78" s="450">
        <v>-300.08194583333335</v>
      </c>
      <c r="G78" s="451"/>
    </row>
    <row r="79" spans="1:41">
      <c r="A79" s="356">
        <f t="shared" si="1"/>
        <v>72</v>
      </c>
      <c r="B79" s="356" t="s">
        <v>490</v>
      </c>
      <c r="C79" s="444" t="s">
        <v>58</v>
      </c>
      <c r="D79" s="356"/>
      <c r="E79" s="450">
        <v>3.5513875000000001</v>
      </c>
      <c r="F79" s="450">
        <v>-3.7674958333333337</v>
      </c>
      <c r="G79" s="451"/>
    </row>
    <row r="80" spans="1:41">
      <c r="A80" s="356">
        <f t="shared" si="1"/>
        <v>73</v>
      </c>
      <c r="B80" s="356" t="s">
        <v>491</v>
      </c>
      <c r="C80" s="444" t="s">
        <v>58</v>
      </c>
      <c r="D80" s="356"/>
      <c r="E80" s="450">
        <v>2.4823</v>
      </c>
      <c r="F80" s="450">
        <v>-3.3374541666666673</v>
      </c>
      <c r="G80" s="451"/>
    </row>
    <row r="81" spans="1:41">
      <c r="A81" s="356">
        <f t="shared" si="1"/>
        <v>74</v>
      </c>
      <c r="B81" s="356" t="s">
        <v>494</v>
      </c>
      <c r="C81" s="444" t="s">
        <v>58</v>
      </c>
      <c r="D81" s="356"/>
      <c r="E81" s="450">
        <v>145.71232083333325</v>
      </c>
      <c r="F81" s="450">
        <v>-154.59005833333336</v>
      </c>
      <c r="G81" s="451"/>
    </row>
    <row r="82" spans="1:41">
      <c r="A82" s="356">
        <f t="shared" si="1"/>
        <v>75</v>
      </c>
      <c r="B82" s="356" t="s">
        <v>495</v>
      </c>
      <c r="C82" s="444" t="s">
        <v>58</v>
      </c>
      <c r="D82" s="356"/>
      <c r="E82" s="450">
        <v>145.77459999999991</v>
      </c>
      <c r="F82" s="450">
        <v>-195.9985916666667</v>
      </c>
      <c r="G82" s="451"/>
      <c r="AB82" s="257"/>
      <c r="AC82" s="240"/>
    </row>
    <row r="83" spans="1:41">
      <c r="A83" s="356">
        <f t="shared" si="1"/>
        <v>76</v>
      </c>
      <c r="B83" s="356" t="s">
        <v>496</v>
      </c>
      <c r="C83" s="444" t="s">
        <v>58</v>
      </c>
      <c r="D83" s="356"/>
      <c r="E83" s="450">
        <v>22.955508333333327</v>
      </c>
      <c r="F83" s="450">
        <v>-24.35415416666666</v>
      </c>
      <c r="G83" s="451"/>
      <c r="AC83" s="240"/>
      <c r="AE83" s="246"/>
      <c r="AF83" s="246"/>
      <c r="AK83" s="258"/>
      <c r="AL83" s="258"/>
      <c r="AM83" s="258"/>
      <c r="AN83" s="258"/>
      <c r="AO83" s="258"/>
    </row>
    <row r="84" spans="1:41">
      <c r="A84" s="356">
        <f t="shared" si="1"/>
        <v>77</v>
      </c>
      <c r="B84" s="356" t="s">
        <v>497</v>
      </c>
      <c r="C84" s="444" t="s">
        <v>58</v>
      </c>
      <c r="D84" s="356"/>
      <c r="E84" s="450">
        <v>3.7960041666666687E-3</v>
      </c>
      <c r="F84" s="450">
        <v>-5.1036666666666652E-3</v>
      </c>
      <c r="G84" s="451"/>
      <c r="AC84" s="240"/>
      <c r="AE84" s="259"/>
      <c r="AF84" s="259"/>
      <c r="AG84" s="242"/>
      <c r="AH84" s="242"/>
      <c r="AM84" s="239"/>
      <c r="AN84" s="260"/>
    </row>
    <row r="85" spans="1:41">
      <c r="A85" s="356">
        <f t="shared" si="1"/>
        <v>78</v>
      </c>
      <c r="B85" s="356"/>
      <c r="C85" s="444"/>
      <c r="D85" s="356"/>
      <c r="E85" s="450"/>
      <c r="F85" s="450"/>
      <c r="G85" s="356"/>
      <c r="I85" s="251"/>
      <c r="J85" s="929"/>
      <c r="K85" s="929"/>
      <c r="L85" s="929"/>
      <c r="M85" s="930"/>
      <c r="N85" s="929"/>
      <c r="O85" s="929"/>
      <c r="P85" s="251"/>
      <c r="Q85" s="251"/>
      <c r="AC85" s="240"/>
      <c r="AE85" s="259"/>
      <c r="AF85" s="259"/>
      <c r="AG85" s="242"/>
      <c r="AH85" s="242"/>
      <c r="AM85" s="261"/>
      <c r="AN85" s="262"/>
    </row>
    <row r="86" spans="1:41">
      <c r="A86" s="356">
        <f>A85+1</f>
        <v>79</v>
      </c>
      <c r="B86" s="446" t="s">
        <v>682</v>
      </c>
      <c r="C86" s="444"/>
      <c r="D86" s="356"/>
      <c r="E86" s="445"/>
      <c r="F86" s="445"/>
      <c r="G86" s="356"/>
      <c r="I86" s="242"/>
      <c r="J86" s="813"/>
      <c r="K86" s="814"/>
      <c r="L86" s="815"/>
      <c r="M86" s="931"/>
      <c r="N86" s="931"/>
      <c r="O86" s="931"/>
      <c r="P86" s="242"/>
      <c r="Q86" s="182"/>
      <c r="AC86" s="240"/>
      <c r="AE86" s="259"/>
      <c r="AF86" s="259"/>
      <c r="AM86" s="239"/>
      <c r="AN86" s="263"/>
      <c r="AO86" s="185"/>
    </row>
    <row r="87" spans="1:41">
      <c r="A87" s="356">
        <f t="shared" si="1"/>
        <v>80</v>
      </c>
      <c r="B87" s="356" t="s">
        <v>504</v>
      </c>
      <c r="C87" s="444" t="s">
        <v>58</v>
      </c>
      <c r="D87" s="452">
        <f>(D67*E81-D68*F81)*12</f>
        <v>14080.256389999991</v>
      </c>
      <c r="E87" s="887">
        <v>5892.0936659374765</v>
      </c>
      <c r="F87" s="445"/>
      <c r="G87" s="356"/>
      <c r="I87" s="252"/>
      <c r="J87" s="807"/>
      <c r="K87" s="809"/>
      <c r="L87" s="808"/>
      <c r="M87" s="816"/>
      <c r="N87" s="810"/>
      <c r="O87" s="817"/>
      <c r="P87" s="242"/>
      <c r="Q87" s="182"/>
      <c r="AC87" s="240"/>
      <c r="AE87" s="259"/>
      <c r="AF87" s="259"/>
      <c r="AM87" s="239"/>
      <c r="AN87" s="263"/>
      <c r="AO87" s="185"/>
    </row>
    <row r="88" spans="1:41" ht="18.600000000000001">
      <c r="A88" s="356">
        <f t="shared" si="1"/>
        <v>81</v>
      </c>
      <c r="B88" s="356" t="s">
        <v>579</v>
      </c>
      <c r="C88" s="444"/>
      <c r="D88" s="452">
        <v>116.22651878322722</v>
      </c>
      <c r="E88" s="456"/>
      <c r="F88" s="445"/>
      <c r="G88" s="356"/>
      <c r="J88" s="807"/>
      <c r="K88" s="809"/>
      <c r="L88" s="808"/>
      <c r="M88" s="816"/>
      <c r="N88" s="818"/>
      <c r="O88" s="817"/>
      <c r="P88" s="242"/>
      <c r="Q88" s="182"/>
      <c r="AC88" s="240"/>
      <c r="AD88" s="247"/>
      <c r="AE88" s="266"/>
      <c r="AF88" s="267"/>
      <c r="AG88" s="242"/>
    </row>
    <row r="89" spans="1:41">
      <c r="A89" s="356">
        <f t="shared" si="1"/>
        <v>82</v>
      </c>
      <c r="B89" s="356" t="s">
        <v>505</v>
      </c>
      <c r="C89" s="444" t="s">
        <v>58</v>
      </c>
      <c r="D89" s="452">
        <f>(D69*E82-D70*F82)*12</f>
        <v>8736.772981999995</v>
      </c>
      <c r="E89" s="445"/>
      <c r="F89" s="445"/>
      <c r="G89" s="356"/>
      <c r="J89" s="807"/>
      <c r="K89" s="809"/>
      <c r="L89" s="808"/>
      <c r="M89" s="816"/>
      <c r="N89" s="818"/>
      <c r="O89" s="817"/>
      <c r="P89" s="242"/>
      <c r="Q89" s="182"/>
      <c r="AC89" s="240"/>
      <c r="AM89" s="239"/>
      <c r="AN89" s="263"/>
      <c r="AO89" s="185"/>
    </row>
    <row r="90" spans="1:41">
      <c r="A90" s="356">
        <f t="shared" si="1"/>
        <v>83</v>
      </c>
      <c r="B90" s="356" t="s">
        <v>506</v>
      </c>
      <c r="C90" s="444"/>
      <c r="D90" s="452">
        <f>SUM(D87:D89)</f>
        <v>22933.255890783214</v>
      </c>
      <c r="E90" s="445"/>
      <c r="F90" s="445"/>
      <c r="G90" s="356"/>
      <c r="J90" s="807"/>
      <c r="K90" s="809"/>
      <c r="L90" s="808"/>
      <c r="M90" s="816"/>
      <c r="N90" s="810"/>
      <c r="O90" s="817"/>
      <c r="P90" s="242"/>
      <c r="Q90" s="182"/>
      <c r="AC90" s="240"/>
      <c r="AE90" s="267"/>
      <c r="AF90" s="266"/>
      <c r="AG90" s="242"/>
      <c r="AM90" s="239"/>
      <c r="AN90" s="263"/>
      <c r="AO90" s="185"/>
    </row>
    <row r="91" spans="1:41">
      <c r="A91" s="356">
        <f t="shared" si="1"/>
        <v>84</v>
      </c>
      <c r="B91" s="446" t="s">
        <v>683</v>
      </c>
      <c r="C91" s="447" t="s">
        <v>501</v>
      </c>
      <c r="D91" s="356"/>
      <c r="E91" s="445"/>
      <c r="F91" s="445"/>
      <c r="G91" s="888">
        <f>ROUND((D90*1000)/(8760*E87),2)</f>
        <v>0.44</v>
      </c>
      <c r="J91" s="807"/>
      <c r="K91" s="809"/>
      <c r="L91" s="808"/>
      <c r="M91" s="816"/>
      <c r="N91" s="810"/>
      <c r="O91" s="817"/>
      <c r="P91" s="242"/>
      <c r="Q91" s="182"/>
      <c r="AB91" s="245"/>
      <c r="AC91" s="240"/>
      <c r="AM91" s="239"/>
      <c r="AN91" s="263"/>
      <c r="AO91" s="185"/>
    </row>
    <row r="92" spans="1:41">
      <c r="A92" s="356">
        <f t="shared" si="1"/>
        <v>85</v>
      </c>
      <c r="B92" s="356"/>
      <c r="C92" s="444"/>
      <c r="D92" s="356"/>
      <c r="E92" s="445"/>
      <c r="F92" s="445"/>
      <c r="G92" s="356"/>
      <c r="J92" s="813"/>
      <c r="K92" s="809"/>
      <c r="L92" s="808"/>
      <c r="M92" s="931"/>
      <c r="N92" s="931"/>
      <c r="O92" s="819"/>
      <c r="P92" s="264"/>
      <c r="Q92" s="265"/>
      <c r="AC92" s="240"/>
    </row>
    <row r="93" spans="1:41">
      <c r="A93" s="356">
        <f t="shared" si="1"/>
        <v>86</v>
      </c>
      <c r="B93" s="446" t="s">
        <v>684</v>
      </c>
      <c r="C93" s="444"/>
      <c r="D93" s="356"/>
      <c r="E93" s="445"/>
      <c r="F93" s="445"/>
      <c r="G93" s="356"/>
      <c r="J93" s="806"/>
      <c r="K93" s="807"/>
      <c r="L93" s="808"/>
      <c r="M93" s="809"/>
      <c r="N93" s="807"/>
      <c r="O93" s="807"/>
      <c r="P93" s="242"/>
      <c r="Q93" s="182"/>
      <c r="AB93" s="255"/>
      <c r="AC93" s="240"/>
    </row>
    <row r="94" spans="1:41">
      <c r="A94" s="356">
        <f>A93+1</f>
        <v>87</v>
      </c>
      <c r="B94" s="356" t="s">
        <v>518</v>
      </c>
      <c r="C94" s="444" t="s">
        <v>510</v>
      </c>
      <c r="D94" s="452">
        <f>12*(D67*E75+D69*E76)</f>
        <v>1001.4636664899997</v>
      </c>
      <c r="E94" s="456">
        <v>3102.1508934480476</v>
      </c>
      <c r="F94" s="445"/>
      <c r="G94" s="356"/>
      <c r="J94" s="807"/>
      <c r="K94" s="808"/>
      <c r="L94" s="807"/>
      <c r="M94" s="807"/>
      <c r="N94" s="807"/>
      <c r="O94" s="807"/>
      <c r="Q94" s="256"/>
      <c r="AC94" s="240"/>
    </row>
    <row r="95" spans="1:41" ht="18" customHeight="1">
      <c r="A95" s="356">
        <f t="shared" si="1"/>
        <v>88</v>
      </c>
      <c r="B95" s="356" t="s">
        <v>580</v>
      </c>
      <c r="C95" s="444"/>
      <c r="D95" s="457">
        <v>-208.43004557298354</v>
      </c>
      <c r="E95" s="456"/>
      <c r="F95" s="445"/>
      <c r="G95" s="356"/>
      <c r="J95" s="807"/>
      <c r="K95" s="810"/>
      <c r="L95" s="807"/>
      <c r="M95" s="807"/>
      <c r="N95" s="807"/>
      <c r="O95" s="807"/>
      <c r="AC95" s="240"/>
      <c r="AK95" s="925"/>
      <c r="AL95" s="925"/>
      <c r="AM95" s="925"/>
      <c r="AN95" s="925"/>
    </row>
    <row r="96" spans="1:41" ht="15.75" customHeight="1">
      <c r="A96" s="356">
        <f t="shared" si="1"/>
        <v>89</v>
      </c>
      <c r="B96" s="356" t="s">
        <v>519</v>
      </c>
      <c r="C96" s="444" t="s">
        <v>510</v>
      </c>
      <c r="D96" s="452">
        <f>-12*(D68*F75+D70*F76)</f>
        <v>51.295841850000023</v>
      </c>
      <c r="E96" s="456">
        <v>2728.7987421383655</v>
      </c>
      <c r="F96" s="445"/>
      <c r="G96" s="356"/>
      <c r="J96" s="807"/>
      <c r="K96" s="810"/>
      <c r="L96" s="807"/>
      <c r="M96" s="807"/>
      <c r="N96" s="807"/>
      <c r="O96" s="807"/>
      <c r="AB96" s="255"/>
      <c r="AC96" s="240"/>
      <c r="AF96" s="274"/>
      <c r="AK96" s="268"/>
      <c r="AL96" s="269"/>
      <c r="AM96" s="269"/>
      <c r="AN96" s="269"/>
    </row>
    <row r="97" spans="1:40" ht="18" customHeight="1">
      <c r="A97" s="356">
        <f t="shared" si="1"/>
        <v>90</v>
      </c>
      <c r="B97" s="356" t="s">
        <v>580</v>
      </c>
      <c r="C97" s="444"/>
      <c r="D97" s="457">
        <v>-10.67596859701632</v>
      </c>
      <c r="E97" s="456"/>
      <c r="F97" s="445"/>
      <c r="G97" s="356"/>
      <c r="AB97" s="255"/>
      <c r="AC97" s="240"/>
      <c r="AL97" s="270"/>
      <c r="AM97" s="270"/>
      <c r="AN97" s="270"/>
    </row>
    <row r="98" spans="1:40">
      <c r="A98" s="356">
        <f t="shared" si="1"/>
        <v>91</v>
      </c>
      <c r="B98" s="446" t="s">
        <v>685</v>
      </c>
      <c r="C98" s="447"/>
      <c r="D98" s="356"/>
      <c r="E98" s="448"/>
      <c r="F98" s="445"/>
      <c r="G98" s="458">
        <f>ROUND(((D94+D95)*1000/E94)/12,3)</f>
        <v>21.303000000000001</v>
      </c>
      <c r="J98" s="275"/>
      <c r="AC98" s="240"/>
      <c r="AL98" s="270"/>
      <c r="AM98" s="270"/>
      <c r="AN98" s="270"/>
    </row>
    <row r="99" spans="1:40">
      <c r="A99" s="356">
        <f t="shared" si="1"/>
        <v>92</v>
      </c>
      <c r="B99" s="446" t="s">
        <v>686</v>
      </c>
      <c r="C99" s="447"/>
      <c r="D99" s="356"/>
      <c r="E99" s="448"/>
      <c r="F99" s="445"/>
      <c r="G99" s="458">
        <f>ROUND((((D96+D97)*1000)/E96)/12,3)</f>
        <v>1.24</v>
      </c>
      <c r="AC99" s="240"/>
      <c r="AL99" s="270"/>
      <c r="AM99" s="270"/>
      <c r="AN99" s="270"/>
    </row>
    <row r="100" spans="1:40">
      <c r="A100" s="356">
        <f t="shared" si="1"/>
        <v>93</v>
      </c>
      <c r="B100" s="356"/>
      <c r="C100" s="444"/>
      <c r="D100" s="356"/>
      <c r="E100" s="445"/>
      <c r="F100" s="445"/>
      <c r="G100" s="356"/>
      <c r="AC100" s="240"/>
      <c r="AL100" s="270"/>
      <c r="AM100" s="270"/>
      <c r="AN100" s="270"/>
    </row>
    <row r="101" spans="1:40">
      <c r="A101" s="356">
        <f>A100+1</f>
        <v>94</v>
      </c>
      <c r="B101" s="446" t="s">
        <v>687</v>
      </c>
      <c r="C101" s="444"/>
      <c r="D101" s="356"/>
      <c r="E101" s="445"/>
      <c r="F101" s="445"/>
      <c r="G101" s="356"/>
      <c r="AC101" s="240"/>
      <c r="AL101" s="238"/>
      <c r="AM101" s="238"/>
      <c r="AN101" s="238"/>
    </row>
    <row r="102" spans="1:40">
      <c r="A102" s="356">
        <f t="shared" si="1"/>
        <v>95</v>
      </c>
      <c r="B102" s="356" t="s">
        <v>512</v>
      </c>
      <c r="C102" s="444" t="s">
        <v>58</v>
      </c>
      <c r="D102" s="452">
        <f>(D67*E77-D68*F77)*12</f>
        <v>12120.160620499997</v>
      </c>
      <c r="E102" s="887">
        <v>2833.896666666667</v>
      </c>
      <c r="F102" s="445"/>
      <c r="G102" s="356"/>
      <c r="AC102" s="240"/>
      <c r="AL102" s="238"/>
      <c r="AM102" s="238"/>
      <c r="AN102" s="238"/>
    </row>
    <row r="103" spans="1:40" ht="18" customHeight="1">
      <c r="A103" s="356">
        <f t="shared" si="1"/>
        <v>96</v>
      </c>
      <c r="B103" s="356" t="s">
        <v>581</v>
      </c>
      <c r="C103" s="444"/>
      <c r="D103" s="452">
        <v>100.0467631409569</v>
      </c>
      <c r="E103" s="456"/>
      <c r="F103" s="445"/>
      <c r="G103" s="356"/>
      <c r="AC103" s="240"/>
      <c r="AK103" s="925"/>
      <c r="AL103" s="925"/>
      <c r="AM103" s="925"/>
      <c r="AN103" s="925"/>
    </row>
    <row r="104" spans="1:40" ht="15.75" customHeight="1">
      <c r="A104" s="356">
        <f t="shared" si="1"/>
        <v>97</v>
      </c>
      <c r="B104" s="356" t="s">
        <v>513</v>
      </c>
      <c r="C104" s="444" t="s">
        <v>58</v>
      </c>
      <c r="D104" s="452">
        <f>(D69*E78-D70*F78)*12</f>
        <v>13376.528200000001</v>
      </c>
      <c r="E104" s="459"/>
      <c r="F104" s="445"/>
      <c r="G104" s="356"/>
      <c r="AC104" s="240"/>
      <c r="AK104" s="268"/>
      <c r="AL104" s="269"/>
      <c r="AM104" s="269"/>
      <c r="AN104" s="269"/>
    </row>
    <row r="105" spans="1:40">
      <c r="A105" s="356">
        <f t="shared" si="1"/>
        <v>98</v>
      </c>
      <c r="B105" s="446" t="s">
        <v>688</v>
      </c>
      <c r="C105" s="447" t="s">
        <v>514</v>
      </c>
      <c r="D105" s="356"/>
      <c r="E105" s="445"/>
      <c r="F105" s="445"/>
      <c r="G105" s="889">
        <f>ROUND((SUM(D102:D104)/E102)/12,3)</f>
        <v>0.753</v>
      </c>
      <c r="AC105" s="240"/>
      <c r="AL105" s="238"/>
      <c r="AM105" s="271"/>
      <c r="AN105" s="271"/>
    </row>
    <row r="106" spans="1:40">
      <c r="A106" s="356">
        <f t="shared" si="1"/>
        <v>99</v>
      </c>
      <c r="B106" s="356"/>
      <c r="C106" s="444"/>
      <c r="D106" s="356"/>
      <c r="E106" s="445"/>
      <c r="F106" s="445"/>
      <c r="G106" s="356"/>
      <c r="AC106" s="240"/>
      <c r="AL106" s="238"/>
      <c r="AM106" s="271"/>
      <c r="AN106" s="271"/>
    </row>
    <row r="107" spans="1:40">
      <c r="A107" s="356">
        <f t="shared" si="1"/>
        <v>100</v>
      </c>
      <c r="B107" s="446" t="s">
        <v>689</v>
      </c>
      <c r="C107" s="444"/>
      <c r="D107" s="356"/>
      <c r="E107" s="445"/>
      <c r="F107" s="445"/>
      <c r="G107" s="356"/>
      <c r="AC107" s="240"/>
      <c r="AL107" s="238"/>
      <c r="AM107" s="271"/>
      <c r="AN107" s="271"/>
    </row>
    <row r="108" spans="1:40">
      <c r="A108" s="356">
        <f t="shared" si="1"/>
        <v>101</v>
      </c>
      <c r="B108" s="356" t="s">
        <v>516</v>
      </c>
      <c r="C108" s="444" t="s">
        <v>58</v>
      </c>
      <c r="D108" s="452">
        <f>(D67*E79-D68*F79)*12</f>
        <v>343.1712205</v>
      </c>
      <c r="E108" s="887">
        <v>101.87</v>
      </c>
      <c r="F108" s="445"/>
      <c r="G108" s="356"/>
      <c r="AC108" s="240"/>
      <c r="AL108" s="238"/>
      <c r="AM108" s="271"/>
      <c r="AN108" s="271"/>
    </row>
    <row r="109" spans="1:40" ht="18" customHeight="1">
      <c r="A109" s="356">
        <f t="shared" si="1"/>
        <v>102</v>
      </c>
      <c r="B109" s="356" t="s">
        <v>581</v>
      </c>
      <c r="C109" s="444"/>
      <c r="D109" s="452">
        <v>2.8327322458157518</v>
      </c>
      <c r="E109" s="456"/>
      <c r="F109" s="445"/>
      <c r="G109" s="356"/>
      <c r="AB109" s="247"/>
      <c r="AC109" s="240"/>
      <c r="AL109" s="238"/>
      <c r="AM109" s="271"/>
      <c r="AN109" s="271"/>
    </row>
    <row r="110" spans="1:40">
      <c r="A110" s="356">
        <f t="shared" si="1"/>
        <v>103</v>
      </c>
      <c r="B110" s="356" t="s">
        <v>517</v>
      </c>
      <c r="C110" s="444" t="s">
        <v>58</v>
      </c>
      <c r="D110" s="452">
        <f>(D69*E79-D70*F79)*12</f>
        <v>211.63791400000002</v>
      </c>
      <c r="E110" s="459"/>
      <c r="F110" s="445"/>
      <c r="G110" s="356"/>
      <c r="AB110" s="247"/>
      <c r="AC110" s="240"/>
      <c r="AL110" s="238"/>
      <c r="AM110" s="271"/>
      <c r="AN110" s="271"/>
    </row>
    <row r="111" spans="1:40">
      <c r="A111" s="356">
        <f t="shared" si="1"/>
        <v>104</v>
      </c>
      <c r="B111" s="446" t="s">
        <v>690</v>
      </c>
      <c r="C111" s="447" t="s">
        <v>514</v>
      </c>
      <c r="D111" s="356"/>
      <c r="E111" s="445"/>
      <c r="F111" s="445"/>
      <c r="G111" s="889">
        <f>ROUND((SUM(D108:D110)/E108)/12,3)</f>
        <v>0.45600000000000002</v>
      </c>
      <c r="AB111" s="255"/>
      <c r="AC111" s="240"/>
    </row>
    <row r="112" spans="1:40" ht="24.75" customHeight="1">
      <c r="A112" s="462" t="s">
        <v>569</v>
      </c>
      <c r="B112" s="356" t="s">
        <v>568</v>
      </c>
      <c r="C112" s="444"/>
      <c r="D112" s="460"/>
      <c r="E112" s="445"/>
      <c r="F112" s="445"/>
      <c r="G112" s="461"/>
      <c r="AC112" s="240"/>
      <c r="AG112" s="246"/>
      <c r="AH112" s="246"/>
      <c r="AI112" s="272"/>
      <c r="AN112" s="241"/>
    </row>
    <row r="113" spans="1:40" ht="32.25" customHeight="1">
      <c r="A113" s="463" t="s">
        <v>572</v>
      </c>
      <c r="B113" s="923" t="s">
        <v>575</v>
      </c>
      <c r="C113" s="924"/>
      <c r="D113" s="924"/>
      <c r="E113" s="924"/>
      <c r="F113" s="924"/>
      <c r="G113" s="924"/>
      <c r="AC113" s="240"/>
      <c r="AI113" s="273"/>
      <c r="AN113" s="241"/>
    </row>
    <row r="114" spans="1:40" ht="30.75" customHeight="1">
      <c r="A114" s="463" t="s">
        <v>577</v>
      </c>
      <c r="B114" s="923" t="s">
        <v>576</v>
      </c>
      <c r="C114" s="924"/>
      <c r="D114" s="924"/>
      <c r="E114" s="924"/>
      <c r="F114" s="924"/>
      <c r="G114" s="924"/>
      <c r="AC114" s="240"/>
      <c r="AN114" s="241"/>
    </row>
    <row r="115" spans="1:40">
      <c r="AC115" s="240"/>
      <c r="AN115" s="241"/>
    </row>
    <row r="116" spans="1:40">
      <c r="AC116" s="240"/>
      <c r="AN116" s="241"/>
    </row>
    <row r="117" spans="1:40">
      <c r="AC117" s="240"/>
      <c r="AN117" s="241"/>
    </row>
    <row r="118" spans="1:40">
      <c r="AC118" s="240"/>
    </row>
  </sheetData>
  <mergeCells count="18">
    <mergeCell ref="A1:G1"/>
    <mergeCell ref="E4:F4"/>
    <mergeCell ref="AL48:AO48"/>
    <mergeCell ref="AK95:AN95"/>
    <mergeCell ref="J85:M85"/>
    <mergeCell ref="N85:O85"/>
    <mergeCell ref="M86:O86"/>
    <mergeCell ref="M92:N92"/>
    <mergeCell ref="J24:M24"/>
    <mergeCell ref="N24:O24"/>
    <mergeCell ref="M26:O26"/>
    <mergeCell ref="M32:N32"/>
    <mergeCell ref="J34:L34"/>
    <mergeCell ref="B63:G63"/>
    <mergeCell ref="B64:G64"/>
    <mergeCell ref="B113:G113"/>
    <mergeCell ref="AK103:AN103"/>
    <mergeCell ref="B114:G114"/>
  </mergeCells>
  <pageMargins left="0.7" right="0.7" top="0.75" bottom="0.75" header="0.3" footer="0.3"/>
  <pageSetup scale="61" orientation="portrait" r:id="rId1"/>
  <rowBreaks count="1" manualBreakCount="1">
    <brk id="64" max="6" man="1"/>
  </rowBreaks>
  <colBreaks count="1" manualBreakCount="1">
    <brk id="7" max="1048575" man="1"/>
  </colBreaks>
  <ignoredErrors>
    <ignoredError sqref="G3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70C0"/>
    <pageSetUpPr fitToPage="1"/>
  </sheetPr>
  <dimension ref="A1:O99"/>
  <sheetViews>
    <sheetView showGridLines="0" zoomScale="80" zoomScaleNormal="80" workbookViewId="0">
      <selection activeCell="B1" sqref="B1:H1"/>
    </sheetView>
  </sheetViews>
  <sheetFormatPr defaultColWidth="9.33203125" defaultRowHeight="15.6"/>
  <cols>
    <col min="1" max="1" width="5.5546875" style="375" bestFit="1" customWidth="1"/>
    <col min="2" max="2" width="7.33203125" style="850" customWidth="1"/>
    <col min="3" max="3" width="44.33203125" style="375" customWidth="1"/>
    <col min="4" max="4" width="15.6640625" style="432" customWidth="1"/>
    <col min="5" max="5" width="39.6640625" style="433" customWidth="1"/>
    <col min="6" max="8" width="12.6640625" style="432" customWidth="1"/>
    <col min="9" max="9" width="9.33203125" style="375"/>
    <col min="10" max="10" width="12.33203125" style="375" bestFit="1" customWidth="1"/>
    <col min="11" max="11" width="14.109375" style="375" customWidth="1"/>
    <col min="12" max="12" width="2.6640625" style="377" customWidth="1"/>
    <col min="13" max="13" width="37.33203125" style="375" bestFit="1" customWidth="1"/>
    <col min="14" max="16384" width="9.33203125" style="375"/>
  </cols>
  <sheetData>
    <row r="1" spans="1:12" s="373" customFormat="1" ht="20.25" customHeight="1">
      <c r="B1" s="932" t="s">
        <v>269</v>
      </c>
      <c r="C1" s="932"/>
      <c r="D1" s="932"/>
      <c r="E1" s="932"/>
      <c r="F1" s="932"/>
      <c r="G1" s="932"/>
      <c r="H1" s="932"/>
      <c r="L1" s="374"/>
    </row>
    <row r="2" spans="1:12" s="373" customFormat="1" ht="20.25" customHeight="1">
      <c r="B2" s="932" t="str">
        <f>+CONCATENATE("Summary of FY "&amp;Input!A2&amp;"/"&amp;Input!A3&amp;" and "&amp;Input!A4&amp;"/"&amp;Input!A5&amp;" Rates")</f>
        <v>Summary of FY 2020/2021 and 2022/2023 Rates</v>
      </c>
      <c r="C2" s="932"/>
      <c r="D2" s="932"/>
      <c r="E2" s="932"/>
      <c r="F2" s="932"/>
      <c r="G2" s="932"/>
      <c r="H2" s="932"/>
      <c r="L2" s="374"/>
    </row>
    <row r="3" spans="1:12">
      <c r="B3" s="847"/>
      <c r="C3" s="376" t="s">
        <v>0</v>
      </c>
      <c r="D3" s="376" t="s">
        <v>1</v>
      </c>
      <c r="E3" s="376" t="s">
        <v>2</v>
      </c>
      <c r="F3" s="376" t="s">
        <v>3</v>
      </c>
      <c r="G3" s="376" t="s">
        <v>4</v>
      </c>
      <c r="H3" s="376" t="s">
        <v>5</v>
      </c>
    </row>
    <row r="4" spans="1:12" ht="46.8">
      <c r="B4" s="847"/>
      <c r="C4" s="378" t="s">
        <v>148</v>
      </c>
      <c r="D4" s="379" t="s">
        <v>51</v>
      </c>
      <c r="E4" s="380" t="str">
        <f>CONCATENATE("Source for "&amp;Input!A4&amp;"/"&amp;Input!A5&amp;" Rates")</f>
        <v>Source for 2022/2023 Rates</v>
      </c>
      <c r="F4" s="380" t="str">
        <f>CONCATENATE("FY "&amp;Input!A2&amp;"/"&amp;Input!A3&amp;" Rates")</f>
        <v>FY 2020/2021 Rates</v>
      </c>
      <c r="G4" s="380" t="str">
        <f>CONCATENATE("FY "&amp;Input!A4&amp;"/"&amp;Input!A5&amp;" Rates")</f>
        <v>FY 2022/2023 Rates</v>
      </c>
      <c r="H4" s="380" t="s">
        <v>133</v>
      </c>
      <c r="I4" s="381"/>
    </row>
    <row r="5" spans="1:12" ht="19.5" customHeight="1">
      <c r="B5" s="846">
        <v>1</v>
      </c>
      <c r="C5" s="382" t="s">
        <v>449</v>
      </c>
      <c r="D5" s="383"/>
      <c r="E5" s="384"/>
      <c r="F5" s="388"/>
      <c r="G5" s="388"/>
      <c r="H5" s="385"/>
    </row>
    <row r="6" spans="1:12">
      <c r="A6" s="386"/>
      <c r="B6" s="846">
        <f t="shared" ref="B6:B69" si="0">B5+1</f>
        <v>2</v>
      </c>
      <c r="C6" s="387" t="s">
        <v>61</v>
      </c>
      <c r="D6" s="388" t="s">
        <v>62</v>
      </c>
      <c r="E6" s="389" t="str">
        <f>"Current Rate * Table 6, Line "&amp;TEXT('T-6'!A$16,"0")</f>
        <v>Current Rate * Table 6, Line 11</v>
      </c>
      <c r="F6" s="434">
        <v>7.2900000000000006E-2</v>
      </c>
      <c r="G6" s="390">
        <f>ROUND(F6*(1+'T-6'!$F$16),4)</f>
        <v>7.7399999999999997E-2</v>
      </c>
      <c r="H6" s="435">
        <f t="shared" ref="H6:H14" si="1">IF(F6=0,0,(G6/F6)-1)</f>
        <v>6.1728395061728225E-2</v>
      </c>
    </row>
    <row r="7" spans="1:12">
      <c r="A7" s="386"/>
      <c r="B7" s="846">
        <f t="shared" si="0"/>
        <v>3</v>
      </c>
      <c r="C7" s="387" t="s">
        <v>63</v>
      </c>
      <c r="D7" s="388" t="s">
        <v>59</v>
      </c>
      <c r="E7" s="389" t="str">
        <f>"Current Rate * Table 6, Line "&amp;TEXT('T-6'!A$16,"0")</f>
        <v>Current Rate * Table 6, Line 11</v>
      </c>
      <c r="F7" s="436">
        <v>4.16</v>
      </c>
      <c r="G7" s="391">
        <f>ROUND(F7*(1+'T-6'!$F$16),2)</f>
        <v>4.42</v>
      </c>
      <c r="H7" s="435">
        <f t="shared" si="1"/>
        <v>6.25E-2</v>
      </c>
    </row>
    <row r="8" spans="1:12">
      <c r="A8" s="386"/>
      <c r="B8" s="846">
        <f t="shared" si="0"/>
        <v>4</v>
      </c>
      <c r="C8" s="387" t="s">
        <v>64</v>
      </c>
      <c r="D8" s="388" t="s">
        <v>59</v>
      </c>
      <c r="E8" s="389" t="str">
        <f>"Current Rate * Table 6, Line "&amp;TEXT('T-6'!A$16,"0")</f>
        <v>Current Rate * Table 6, Line 11</v>
      </c>
      <c r="F8" s="436">
        <v>0.84</v>
      </c>
      <c r="G8" s="391">
        <f>ROUND(F8*(1+'T-6'!$F$16),2)</f>
        <v>0.89</v>
      </c>
      <c r="H8" s="435">
        <f t="shared" si="1"/>
        <v>5.9523809523809534E-2</v>
      </c>
    </row>
    <row r="9" spans="1:12">
      <c r="A9" s="386"/>
      <c r="B9" s="846">
        <f t="shared" si="0"/>
        <v>5</v>
      </c>
      <c r="C9" s="387" t="s">
        <v>65</v>
      </c>
      <c r="D9" s="388" t="s">
        <v>59</v>
      </c>
      <c r="E9" s="389" t="str">
        <f>"Current Rate * Table 6, Line "&amp;TEXT('T-6'!A$16,"0")</f>
        <v>Current Rate * Table 6, Line 11</v>
      </c>
      <c r="F9" s="436">
        <v>0.76</v>
      </c>
      <c r="G9" s="391">
        <f>ROUND(F9*(1+'T-6'!$F$16),2)</f>
        <v>0.81</v>
      </c>
      <c r="H9" s="435">
        <f t="shared" si="1"/>
        <v>6.578947368421062E-2</v>
      </c>
    </row>
    <row r="10" spans="1:12">
      <c r="A10" s="386"/>
      <c r="B10" s="846">
        <f t="shared" si="0"/>
        <v>6</v>
      </c>
      <c r="C10" s="387" t="s">
        <v>66</v>
      </c>
      <c r="D10" s="388" t="s">
        <v>59</v>
      </c>
      <c r="E10" s="389" t="str">
        <f>"Current Rate * Table 6, Line "&amp;TEXT('T-6'!A$16,"0")</f>
        <v>Current Rate * Table 6, Line 11</v>
      </c>
      <c r="F10" s="436">
        <v>7.84</v>
      </c>
      <c r="G10" s="391">
        <f>ROUND(F10*(1+'T-6'!$F$16),2)</f>
        <v>8.32</v>
      </c>
      <c r="H10" s="435">
        <f t="shared" si="1"/>
        <v>6.1224489795918435E-2</v>
      </c>
    </row>
    <row r="11" spans="1:12">
      <c r="A11" s="386"/>
      <c r="B11" s="846">
        <f t="shared" si="0"/>
        <v>7</v>
      </c>
      <c r="C11" s="387" t="s">
        <v>67</v>
      </c>
      <c r="D11" s="388" t="s">
        <v>59</v>
      </c>
      <c r="E11" s="389" t="str">
        <f>"Current Rate * Table 6, Line "&amp;TEXT('T-6'!A$16,"0")</f>
        <v>Current Rate * Table 6, Line 11</v>
      </c>
      <c r="F11" s="436">
        <v>2.14</v>
      </c>
      <c r="G11" s="391">
        <f>ROUND(F11*(1+'T-6'!$F$16),2)</f>
        <v>2.27</v>
      </c>
      <c r="H11" s="435">
        <f t="shared" si="1"/>
        <v>6.0747663551401709E-2</v>
      </c>
    </row>
    <row r="12" spans="1:12">
      <c r="A12" s="386"/>
      <c r="B12" s="846">
        <f t="shared" si="0"/>
        <v>8</v>
      </c>
      <c r="C12" s="387" t="s">
        <v>68</v>
      </c>
      <c r="D12" s="388" t="s">
        <v>59</v>
      </c>
      <c r="E12" s="389" t="str">
        <f>"Current Rate * Table 6, Line "&amp;TEXT('T-6'!A$16,"0")</f>
        <v>Current Rate * Table 6, Line 11</v>
      </c>
      <c r="F12" s="436">
        <v>3.03</v>
      </c>
      <c r="G12" s="391">
        <f>ROUND(F12*(1+'T-6'!$F$16),2)</f>
        <v>3.22</v>
      </c>
      <c r="H12" s="435">
        <f t="shared" si="1"/>
        <v>6.270627062706291E-2</v>
      </c>
    </row>
    <row r="13" spans="1:12">
      <c r="A13" s="386"/>
      <c r="B13" s="846">
        <f t="shared" si="0"/>
        <v>9</v>
      </c>
      <c r="C13" s="387" t="s">
        <v>69</v>
      </c>
      <c r="D13" s="388" t="s">
        <v>62</v>
      </c>
      <c r="E13" s="389" t="str">
        <f>"Current Rate * Table 6, Line "&amp;TEXT('T-6'!A$16,"0")</f>
        <v>Current Rate * Table 6, Line 11</v>
      </c>
      <c r="F13" s="434">
        <v>0.71730000000000005</v>
      </c>
      <c r="G13" s="390">
        <f>ROUND(F13*(1+'T-6'!$F$16),2)</f>
        <v>0.76</v>
      </c>
      <c r="H13" s="435">
        <f t="shared" si="1"/>
        <v>5.9528788512477337E-2</v>
      </c>
    </row>
    <row r="14" spans="1:12">
      <c r="A14" s="386"/>
      <c r="B14" s="846">
        <f t="shared" si="0"/>
        <v>10</v>
      </c>
      <c r="C14" s="387" t="s">
        <v>206</v>
      </c>
      <c r="D14" s="388" t="s">
        <v>34</v>
      </c>
      <c r="E14" s="392" t="s">
        <v>619</v>
      </c>
      <c r="F14" s="437">
        <v>1.7261760368262182</v>
      </c>
      <c r="G14" s="393">
        <f>'T-6'!G17</f>
        <v>0.77834798512032177</v>
      </c>
      <c r="H14" s="435">
        <f t="shared" si="1"/>
        <v>-0.54909118854910766</v>
      </c>
    </row>
    <row r="15" spans="1:12" ht="27.75" customHeight="1">
      <c r="B15" s="846">
        <f t="shared" si="0"/>
        <v>11</v>
      </c>
      <c r="C15" s="851" t="s">
        <v>614</v>
      </c>
      <c r="D15" s="394"/>
      <c r="E15" s="395"/>
      <c r="F15" s="438"/>
      <c r="G15" s="396"/>
      <c r="H15" s="439"/>
      <c r="J15" s="856"/>
    </row>
    <row r="16" spans="1:12">
      <c r="A16" s="386"/>
      <c r="B16" s="846">
        <f t="shared" si="0"/>
        <v>12</v>
      </c>
      <c r="C16" s="387" t="s">
        <v>61</v>
      </c>
      <c r="D16" s="388" t="s">
        <v>62</v>
      </c>
      <c r="E16" s="389" t="str">
        <f>"Current Rate"</f>
        <v>Current Rate</v>
      </c>
      <c r="F16" s="434">
        <v>7.2800000000000004E-2</v>
      </c>
      <c r="G16" s="390">
        <f>IF($L$16=0,F16,ROUND(F16*(1+'T-6'!$F$16),4))</f>
        <v>7.2800000000000004E-2</v>
      </c>
      <c r="H16" s="435">
        <f>IF(F16=0,0,(G16/F16)-1)</f>
        <v>0</v>
      </c>
      <c r="J16" s="852" t="s">
        <v>616</v>
      </c>
      <c r="K16" s="852"/>
      <c r="L16" s="853">
        <v>0</v>
      </c>
    </row>
    <row r="17" spans="1:12">
      <c r="A17" s="386"/>
      <c r="B17" s="846">
        <f t="shared" si="0"/>
        <v>13</v>
      </c>
      <c r="C17" s="387" t="s">
        <v>63</v>
      </c>
      <c r="D17" s="388" t="s">
        <v>59</v>
      </c>
      <c r="E17" s="389" t="str">
        <f t="shared" ref="E17:E23" si="2">"Current Rate"</f>
        <v>Current Rate</v>
      </c>
      <c r="F17" s="436">
        <v>4.1500000000000004</v>
      </c>
      <c r="G17" s="391">
        <f>IF($L$16=0,F17,ROUND(F17*(1+'T-6'!$F$16),4))</f>
        <v>4.1500000000000004</v>
      </c>
      <c r="H17" s="435">
        <f t="shared" ref="H17:H57" si="3">IF(F17=0,0,(G17/F17)-1)</f>
        <v>0</v>
      </c>
      <c r="J17" s="854" t="s">
        <v>617</v>
      </c>
      <c r="K17" s="852"/>
      <c r="L17" s="855"/>
    </row>
    <row r="18" spans="1:12">
      <c r="A18" s="386"/>
      <c r="B18" s="846">
        <f t="shared" si="0"/>
        <v>14</v>
      </c>
      <c r="C18" s="387" t="s">
        <v>64</v>
      </c>
      <c r="D18" s="388" t="s">
        <v>59</v>
      </c>
      <c r="E18" s="389" t="str">
        <f t="shared" si="2"/>
        <v>Current Rate</v>
      </c>
      <c r="F18" s="436">
        <v>0.84</v>
      </c>
      <c r="G18" s="391">
        <f>IF($L$16=0,F18,ROUND(F18*(1+'T-6'!$F$16),4))</f>
        <v>0.84</v>
      </c>
      <c r="H18" s="435">
        <f t="shared" si="3"/>
        <v>0</v>
      </c>
      <c r="J18" s="854" t="s">
        <v>618</v>
      </c>
      <c r="K18" s="852"/>
      <c r="L18" s="855"/>
    </row>
    <row r="19" spans="1:12">
      <c r="A19" s="386"/>
      <c r="B19" s="846">
        <f t="shared" si="0"/>
        <v>15</v>
      </c>
      <c r="C19" s="387" t="s">
        <v>65</v>
      </c>
      <c r="D19" s="388" t="s">
        <v>59</v>
      </c>
      <c r="E19" s="389" t="str">
        <f t="shared" si="2"/>
        <v>Current Rate</v>
      </c>
      <c r="F19" s="436">
        <v>0.76</v>
      </c>
      <c r="G19" s="391">
        <f>IF($L$16=0,F19,ROUND(F19*(1+'T-6'!$F$16),4))</f>
        <v>0.76</v>
      </c>
      <c r="H19" s="435">
        <f t="shared" si="3"/>
        <v>0</v>
      </c>
      <c r="J19" s="397"/>
    </row>
    <row r="20" spans="1:12">
      <c r="A20" s="386"/>
      <c r="B20" s="846">
        <f t="shared" si="0"/>
        <v>16</v>
      </c>
      <c r="C20" s="387" t="s">
        <v>66</v>
      </c>
      <c r="D20" s="388" t="s">
        <v>59</v>
      </c>
      <c r="E20" s="389" t="str">
        <f t="shared" si="2"/>
        <v>Current Rate</v>
      </c>
      <c r="F20" s="436">
        <v>7.83</v>
      </c>
      <c r="G20" s="391">
        <f>IF($L$16=0,F20,ROUND(F20*(1+'T-6'!$F$16),4))</f>
        <v>7.83</v>
      </c>
      <c r="H20" s="435">
        <f t="shared" si="3"/>
        <v>0</v>
      </c>
      <c r="J20" s="397"/>
    </row>
    <row r="21" spans="1:12">
      <c r="A21" s="386"/>
      <c r="B21" s="846">
        <f t="shared" si="0"/>
        <v>17</v>
      </c>
      <c r="C21" s="387" t="s">
        <v>67</v>
      </c>
      <c r="D21" s="388" t="s">
        <v>59</v>
      </c>
      <c r="E21" s="389" t="str">
        <f t="shared" si="2"/>
        <v>Current Rate</v>
      </c>
      <c r="F21" s="436">
        <v>2.14</v>
      </c>
      <c r="G21" s="391">
        <f>IF($L$16=0,F21,ROUND(F21*(1+'T-6'!$F$16),4))</f>
        <v>2.14</v>
      </c>
      <c r="H21" s="435">
        <f t="shared" si="3"/>
        <v>0</v>
      </c>
      <c r="J21" s="397"/>
    </row>
    <row r="22" spans="1:12">
      <c r="A22" s="386"/>
      <c r="B22" s="846">
        <f t="shared" si="0"/>
        <v>18</v>
      </c>
      <c r="C22" s="387" t="s">
        <v>68</v>
      </c>
      <c r="D22" s="388" t="s">
        <v>59</v>
      </c>
      <c r="E22" s="389" t="str">
        <f t="shared" si="2"/>
        <v>Current Rate</v>
      </c>
      <c r="F22" s="436">
        <v>3.03</v>
      </c>
      <c r="G22" s="391">
        <f>IF($L$16=0,F22,ROUND(F22*(1+'T-6'!$F$16),4))</f>
        <v>3.03</v>
      </c>
      <c r="H22" s="435">
        <f t="shared" si="3"/>
        <v>0</v>
      </c>
      <c r="J22" s="397"/>
    </row>
    <row r="23" spans="1:12">
      <c r="A23" s="386"/>
      <c r="B23" s="846">
        <f t="shared" si="0"/>
        <v>19</v>
      </c>
      <c r="C23" s="387" t="s">
        <v>69</v>
      </c>
      <c r="D23" s="388" t="s">
        <v>62</v>
      </c>
      <c r="E23" s="389" t="str">
        <f t="shared" si="2"/>
        <v>Current Rate</v>
      </c>
      <c r="F23" s="434">
        <v>0.71599999999999997</v>
      </c>
      <c r="G23" s="390">
        <f>IF($L$16=0,F23,ROUND(F23*(1+'T-6'!$F$16),4))</f>
        <v>0.71599999999999997</v>
      </c>
      <c r="H23" s="435">
        <f t="shared" si="3"/>
        <v>0</v>
      </c>
      <c r="J23" s="397"/>
    </row>
    <row r="24" spans="1:12">
      <c r="A24" s="386"/>
      <c r="B24" s="846">
        <f t="shared" si="0"/>
        <v>20</v>
      </c>
      <c r="C24" s="387" t="s">
        <v>206</v>
      </c>
      <c r="D24" s="388" t="s">
        <v>34</v>
      </c>
      <c r="E24" s="392" t="s">
        <v>631</v>
      </c>
      <c r="F24" s="437">
        <v>1.7261760368262182</v>
      </c>
      <c r="G24" s="393">
        <f>'T-6'!G11</f>
        <v>0.73316892692087332</v>
      </c>
      <c r="H24" s="435">
        <f t="shared" si="3"/>
        <v>-0.57526410326672572</v>
      </c>
    </row>
    <row r="25" spans="1:12" ht="24.75" customHeight="1">
      <c r="B25" s="846">
        <f t="shared" si="0"/>
        <v>21</v>
      </c>
      <c r="C25" s="851" t="s">
        <v>615</v>
      </c>
      <c r="D25" s="394"/>
      <c r="E25" s="395"/>
      <c r="F25" s="438"/>
      <c r="G25" s="396"/>
      <c r="H25" s="435"/>
      <c r="J25" s="856"/>
    </row>
    <row r="26" spans="1:12" ht="33" customHeight="1">
      <c r="A26" s="386"/>
      <c r="B26" s="846">
        <f t="shared" si="0"/>
        <v>22</v>
      </c>
      <c r="C26" s="387" t="s">
        <v>61</v>
      </c>
      <c r="D26" s="388" t="s">
        <v>62</v>
      </c>
      <c r="E26" s="389" t="str">
        <f>"Current Rate * Table 6, Line "&amp;TEXT('T-6'!A$16,"0")</f>
        <v>Current Rate * Table 6, Line 11</v>
      </c>
      <c r="F26" s="434">
        <v>7.2800000000000004E-2</v>
      </c>
      <c r="G26" s="390">
        <f>IF(L26=0,F26,+F26*(1+'T-6'!$F$16))</f>
        <v>7.728605405405406E-2</v>
      </c>
      <c r="H26" s="435">
        <f>IF(F26=0,0,(G26/F26)-1)</f>
        <v>6.1621621621621658E-2</v>
      </c>
      <c r="J26" s="852" t="s">
        <v>616</v>
      </c>
      <c r="K26" s="852"/>
      <c r="L26" s="853">
        <v>1</v>
      </c>
    </row>
    <row r="27" spans="1:12" ht="20.25" customHeight="1">
      <c r="B27" s="846">
        <f t="shared" si="0"/>
        <v>23</v>
      </c>
      <c r="C27" s="387" t="s">
        <v>63</v>
      </c>
      <c r="D27" s="388" t="s">
        <v>59</v>
      </c>
      <c r="E27" s="389" t="str">
        <f>"Current Rate * Table 6, Line "&amp;TEXT('T-6'!A$16,"0")</f>
        <v>Current Rate * Table 6, Line 11</v>
      </c>
      <c r="F27" s="436">
        <v>4.1500000000000004</v>
      </c>
      <c r="G27" s="391">
        <f>IF(L26=0,F27,+F27*(1+'T-6'!$F$16))</f>
        <v>4.40572972972973</v>
      </c>
      <c r="H27" s="435">
        <f t="shared" si="3"/>
        <v>6.1621621621621658E-2</v>
      </c>
      <c r="J27" s="854" t="s">
        <v>617</v>
      </c>
      <c r="K27" s="852"/>
      <c r="L27" s="855"/>
    </row>
    <row r="28" spans="1:12" ht="18" customHeight="1">
      <c r="A28" s="386"/>
      <c r="B28" s="846">
        <f t="shared" si="0"/>
        <v>24</v>
      </c>
      <c r="C28" s="387" t="s">
        <v>64</v>
      </c>
      <c r="D28" s="388" t="s">
        <v>59</v>
      </c>
      <c r="E28" s="389" t="str">
        <f>"Current Rate * Table 6, Line "&amp;TEXT('T-6'!A$16,"0")</f>
        <v>Current Rate * Table 6, Line 11</v>
      </c>
      <c r="F28" s="436">
        <v>0.84</v>
      </c>
      <c r="G28" s="391">
        <f>IF(L26=0,F28,+F28*(1+'T-6'!$F$16))</f>
        <v>0.8917621621621622</v>
      </c>
      <c r="H28" s="435">
        <f t="shared" si="3"/>
        <v>6.1621621621621658E-2</v>
      </c>
      <c r="I28" s="398"/>
      <c r="J28" s="854" t="s">
        <v>618</v>
      </c>
      <c r="K28" s="852"/>
      <c r="L28" s="855"/>
    </row>
    <row r="29" spans="1:12" ht="19.5" customHeight="1">
      <c r="B29" s="846">
        <f t="shared" si="0"/>
        <v>25</v>
      </c>
      <c r="C29" s="387" t="s">
        <v>65</v>
      </c>
      <c r="D29" s="388" t="s">
        <v>59</v>
      </c>
      <c r="E29" s="389" t="str">
        <f>"Current Rate * Table 6, Line "&amp;TEXT('T-6'!A$16,"0")</f>
        <v>Current Rate * Table 6, Line 11</v>
      </c>
      <c r="F29" s="436">
        <v>0.76</v>
      </c>
      <c r="G29" s="391">
        <f>IF(L26=0,F28,+F29*(1+'T-6'!$F$16))</f>
        <v>0.80683243243243252</v>
      </c>
      <c r="H29" s="435">
        <f t="shared" si="3"/>
        <v>6.1621621621621658E-2</v>
      </c>
    </row>
    <row r="30" spans="1:12">
      <c r="B30" s="846">
        <f t="shared" si="0"/>
        <v>26</v>
      </c>
      <c r="C30" s="387" t="s">
        <v>66</v>
      </c>
      <c r="D30" s="388" t="s">
        <v>59</v>
      </c>
      <c r="E30" s="389" t="str">
        <f>"Current Rate * Table 6, Line "&amp;TEXT('T-6'!A$16,"0")</f>
        <v>Current Rate * Table 6, Line 11</v>
      </c>
      <c r="F30" s="436">
        <v>7.83</v>
      </c>
      <c r="G30" s="391">
        <f>IF(L26=0,F28,+F30*(1+'T-6'!$F$16))</f>
        <v>8.3124972972972984</v>
      </c>
      <c r="H30" s="435">
        <f t="shared" si="3"/>
        <v>6.1621621621621658E-2</v>
      </c>
      <c r="J30" s="399"/>
    </row>
    <row r="31" spans="1:12">
      <c r="B31" s="846">
        <f t="shared" si="0"/>
        <v>27</v>
      </c>
      <c r="C31" s="387" t="s">
        <v>67</v>
      </c>
      <c r="D31" s="388" t="s">
        <v>59</v>
      </c>
      <c r="E31" s="389" t="str">
        <f>"Current Rate * Table 6, Line "&amp;TEXT('T-6'!A$16,"0")</f>
        <v>Current Rate * Table 6, Line 11</v>
      </c>
      <c r="F31" s="436">
        <v>2.14</v>
      </c>
      <c r="G31" s="391">
        <f>IF(L26=0,F28,+F31*(1+'T-6'!$F$16))</f>
        <v>2.2718702702702704</v>
      </c>
      <c r="H31" s="435">
        <f t="shared" si="3"/>
        <v>6.1621621621621658E-2</v>
      </c>
    </row>
    <row r="32" spans="1:12">
      <c r="B32" s="846">
        <f t="shared" si="0"/>
        <v>28</v>
      </c>
      <c r="C32" s="387" t="s">
        <v>68</v>
      </c>
      <c r="D32" s="388" t="s">
        <v>59</v>
      </c>
      <c r="E32" s="389" t="str">
        <f>"Current Rate * Table 6, Line "&amp;TEXT('T-6'!A$16,"0")</f>
        <v>Current Rate * Table 6, Line 11</v>
      </c>
      <c r="F32" s="436">
        <v>3.03</v>
      </c>
      <c r="G32" s="391">
        <f>IF(L26=0,F28,+F32*(1+'T-6'!$F$16))</f>
        <v>3.2167135135135134</v>
      </c>
      <c r="H32" s="435">
        <f t="shared" si="3"/>
        <v>6.1621621621621658E-2</v>
      </c>
    </row>
    <row r="33" spans="2:15">
      <c r="B33" s="846">
        <f t="shared" si="0"/>
        <v>29</v>
      </c>
      <c r="C33" s="387" t="s">
        <v>69</v>
      </c>
      <c r="D33" s="388" t="s">
        <v>62</v>
      </c>
      <c r="E33" s="389" t="str">
        <f>"Current Rate * Table 6, Line "&amp;TEXT('T-6'!A$16,"0")</f>
        <v>Current Rate * Table 6, Line 11</v>
      </c>
      <c r="F33" s="434">
        <v>0.71599999999999997</v>
      </c>
      <c r="G33" s="390">
        <f>IF(L26=0,F28,+F33*(1+'T-6'!$F$16))</f>
        <v>0.76012108108108112</v>
      </c>
      <c r="H33" s="435">
        <f t="shared" si="3"/>
        <v>6.1621621621621658E-2</v>
      </c>
      <c r="I33" s="400"/>
    </row>
    <row r="34" spans="2:15" ht="19.5" customHeight="1">
      <c r="B34" s="846">
        <f t="shared" si="0"/>
        <v>30</v>
      </c>
      <c r="C34" s="387" t="s">
        <v>206</v>
      </c>
      <c r="D34" s="388" t="s">
        <v>34</v>
      </c>
      <c r="E34" s="389" t="s">
        <v>619</v>
      </c>
      <c r="F34" s="437">
        <v>1.7261760368262182</v>
      </c>
      <c r="G34" s="393">
        <f>IF(L26=0,'T-6'!G11,+'T-6'!G11*(1+'T-6'!$F$16))</f>
        <v>0.77834798512032177</v>
      </c>
      <c r="H34" s="435">
        <f t="shared" si="3"/>
        <v>-0.54909118854910766</v>
      </c>
      <c r="I34" s="400"/>
    </row>
    <row r="35" spans="2:15">
      <c r="B35" s="846">
        <f t="shared" si="0"/>
        <v>31</v>
      </c>
      <c r="C35" s="382" t="s">
        <v>621</v>
      </c>
      <c r="D35" s="394"/>
      <c r="E35" s="401"/>
      <c r="F35" s="434"/>
      <c r="G35" s="390"/>
      <c r="H35" s="435"/>
      <c r="I35" s="400"/>
    </row>
    <row r="36" spans="2:15">
      <c r="B36" s="846">
        <f t="shared" si="0"/>
        <v>32</v>
      </c>
      <c r="C36" s="387" t="s">
        <v>70</v>
      </c>
      <c r="D36" s="388" t="s">
        <v>34</v>
      </c>
      <c r="E36" s="402" t="s">
        <v>601</v>
      </c>
      <c r="F36" s="437">
        <v>1.7709999999999999</v>
      </c>
      <c r="G36" s="393">
        <f>'T-7'!G51</f>
        <v>2.0310000000000001</v>
      </c>
      <c r="H36" s="435">
        <f t="shared" si="3"/>
        <v>0.14680971202710347</v>
      </c>
      <c r="I36" s="400"/>
      <c r="M36" s="400"/>
      <c r="N36" s="400"/>
      <c r="O36" s="400"/>
    </row>
    <row r="37" spans="2:15">
      <c r="B37" s="846">
        <f t="shared" si="0"/>
        <v>33</v>
      </c>
      <c r="C37" s="382" t="s">
        <v>620</v>
      </c>
      <c r="D37" s="394"/>
      <c r="E37" s="401"/>
      <c r="F37" s="434"/>
      <c r="G37" s="390"/>
      <c r="H37" s="435"/>
      <c r="I37" s="400"/>
      <c r="J37" s="403"/>
      <c r="K37" s="404"/>
      <c r="L37" s="405"/>
      <c r="M37" s="400"/>
      <c r="N37" s="400"/>
      <c r="O37" s="400"/>
    </row>
    <row r="38" spans="2:15">
      <c r="B38" s="846">
        <f t="shared" si="0"/>
        <v>34</v>
      </c>
      <c r="C38" s="387" t="s">
        <v>70</v>
      </c>
      <c r="D38" s="388" t="s">
        <v>34</v>
      </c>
      <c r="E38" s="402" t="s">
        <v>602</v>
      </c>
      <c r="F38" s="437">
        <v>1.5329999999999999</v>
      </c>
      <c r="G38" s="393">
        <f>'T-7'!G41</f>
        <v>1.6479999999999999</v>
      </c>
      <c r="H38" s="435">
        <f t="shared" si="3"/>
        <v>7.5016307893020162E-2</v>
      </c>
      <c r="J38" s="406"/>
      <c r="K38" s="407"/>
      <c r="L38" s="405"/>
      <c r="M38" s="408"/>
      <c r="N38" s="408"/>
      <c r="O38" s="409"/>
    </row>
    <row r="39" spans="2:15" ht="19.5" customHeight="1">
      <c r="B39" s="846">
        <f t="shared" si="0"/>
        <v>35</v>
      </c>
      <c r="C39" s="387" t="s">
        <v>71</v>
      </c>
      <c r="D39" s="388" t="s">
        <v>60</v>
      </c>
      <c r="E39" s="389" t="s">
        <v>603</v>
      </c>
      <c r="F39" s="437">
        <v>7.0000000000000007E-2</v>
      </c>
      <c r="G39" s="393">
        <f>'T-7'!G42</f>
        <v>7.5999999999999998E-2</v>
      </c>
      <c r="H39" s="435">
        <f t="shared" si="3"/>
        <v>8.5714285714285632E-2</v>
      </c>
      <c r="J39" s="403"/>
      <c r="K39" s="404"/>
      <c r="L39" s="405"/>
      <c r="M39" s="408"/>
      <c r="N39" s="408"/>
      <c r="O39" s="408"/>
    </row>
    <row r="40" spans="2:15">
      <c r="B40" s="846">
        <f t="shared" si="0"/>
        <v>36</v>
      </c>
      <c r="C40" s="387" t="s">
        <v>72</v>
      </c>
      <c r="D40" s="388" t="s">
        <v>60</v>
      </c>
      <c r="E40" s="389" t="s">
        <v>604</v>
      </c>
      <c r="F40" s="437">
        <v>0.05</v>
      </c>
      <c r="G40" s="393">
        <f>'T-7'!G43</f>
        <v>5.3999999999999999E-2</v>
      </c>
      <c r="H40" s="435">
        <f t="shared" si="3"/>
        <v>7.9999999999999849E-2</v>
      </c>
      <c r="J40" s="406"/>
      <c r="K40" s="407"/>
      <c r="L40" s="405"/>
      <c r="M40" s="408"/>
      <c r="N40" s="408"/>
      <c r="O40" s="409"/>
    </row>
    <row r="41" spans="2:15">
      <c r="B41" s="846">
        <f t="shared" si="0"/>
        <v>37</v>
      </c>
      <c r="C41" s="387" t="s">
        <v>45</v>
      </c>
      <c r="D41" s="388" t="s">
        <v>73</v>
      </c>
      <c r="E41" s="389" t="s">
        <v>605</v>
      </c>
      <c r="F41" s="437">
        <v>4.41</v>
      </c>
      <c r="G41" s="393">
        <f>'T-7'!G44</f>
        <v>4.74</v>
      </c>
      <c r="H41" s="435">
        <f t="shared" si="3"/>
        <v>7.4829931972789199E-2</v>
      </c>
      <c r="M41" s="408"/>
      <c r="N41" s="408"/>
      <c r="O41" s="408"/>
    </row>
    <row r="42" spans="2:15">
      <c r="B42" s="846">
        <f t="shared" si="0"/>
        <v>38</v>
      </c>
      <c r="C42" s="382" t="s">
        <v>622</v>
      </c>
      <c r="D42" s="394"/>
      <c r="E42" s="410"/>
      <c r="F42" s="434"/>
      <c r="G42" s="390"/>
      <c r="H42" s="435"/>
      <c r="J42" s="400"/>
      <c r="K42" s="400"/>
      <c r="L42" s="411"/>
      <c r="M42" s="408"/>
      <c r="N42" s="408"/>
      <c r="O42" s="408"/>
    </row>
    <row r="43" spans="2:15">
      <c r="B43" s="846">
        <f t="shared" si="0"/>
        <v>39</v>
      </c>
      <c r="C43" s="387" t="s">
        <v>70</v>
      </c>
      <c r="D43" s="388" t="s">
        <v>34</v>
      </c>
      <c r="E43" s="389" t="s">
        <v>606</v>
      </c>
      <c r="F43" s="437">
        <v>1.0840000000000001</v>
      </c>
      <c r="G43" s="393">
        <f>'T-8'!F22</f>
        <v>1.1180000000000001</v>
      </c>
      <c r="H43" s="435">
        <f t="shared" si="3"/>
        <v>3.1365313653136662E-2</v>
      </c>
      <c r="J43" s="400"/>
      <c r="K43" s="400"/>
      <c r="L43" s="411"/>
      <c r="M43" s="408"/>
      <c r="N43" s="408"/>
      <c r="O43" s="408"/>
    </row>
    <row r="44" spans="2:15" ht="19.5" customHeight="1">
      <c r="B44" s="846">
        <f t="shared" si="0"/>
        <v>40</v>
      </c>
      <c r="C44" s="387" t="s">
        <v>71</v>
      </c>
      <c r="D44" s="388" t="s">
        <v>60</v>
      </c>
      <c r="E44" s="389" t="s">
        <v>607</v>
      </c>
      <c r="F44" s="437">
        <v>0.05</v>
      </c>
      <c r="G44" s="393">
        <f>'T-8'!F23</f>
        <v>5.0999999999999997E-2</v>
      </c>
      <c r="H44" s="435">
        <f t="shared" si="3"/>
        <v>1.9999999999999796E-2</v>
      </c>
      <c r="J44" s="400"/>
      <c r="K44" s="400"/>
      <c r="L44" s="411"/>
      <c r="M44" s="400"/>
      <c r="N44" s="400"/>
      <c r="O44" s="400"/>
    </row>
    <row r="45" spans="2:15">
      <c r="B45" s="846">
        <f t="shared" si="0"/>
        <v>41</v>
      </c>
      <c r="C45" s="387" t="s">
        <v>72</v>
      </c>
      <c r="D45" s="388" t="s">
        <v>60</v>
      </c>
      <c r="E45" s="389" t="s">
        <v>608</v>
      </c>
      <c r="F45" s="437">
        <v>3.5999999999999997E-2</v>
      </c>
      <c r="G45" s="393">
        <f>'T-8'!F24</f>
        <v>3.6999999999999998E-2</v>
      </c>
      <c r="H45" s="435">
        <f t="shared" si="3"/>
        <v>2.7777777777777901E-2</v>
      </c>
      <c r="J45" s="412"/>
      <c r="K45" s="400"/>
      <c r="L45" s="411"/>
      <c r="M45" s="400"/>
      <c r="N45" s="400"/>
      <c r="O45" s="400"/>
    </row>
    <row r="46" spans="2:15" ht="19.5" customHeight="1">
      <c r="B46" s="846">
        <f t="shared" si="0"/>
        <v>42</v>
      </c>
      <c r="C46" s="387" t="s">
        <v>45</v>
      </c>
      <c r="D46" s="388" t="s">
        <v>73</v>
      </c>
      <c r="E46" s="389" t="s">
        <v>609</v>
      </c>
      <c r="F46" s="437">
        <v>9.98</v>
      </c>
      <c r="G46" s="393">
        <f>'T-8'!F25</f>
        <v>10.29</v>
      </c>
      <c r="H46" s="435">
        <f t="shared" si="3"/>
        <v>3.106212424849697E-2</v>
      </c>
      <c r="J46" s="400"/>
      <c r="K46" s="400"/>
      <c r="L46" s="411"/>
      <c r="M46" s="400"/>
      <c r="N46" s="400"/>
      <c r="O46" s="400"/>
    </row>
    <row r="47" spans="2:15">
      <c r="B47" s="846">
        <f t="shared" si="0"/>
        <v>43</v>
      </c>
      <c r="C47" s="382" t="s">
        <v>623</v>
      </c>
      <c r="D47" s="394"/>
      <c r="E47" s="413"/>
      <c r="F47" s="438"/>
      <c r="G47" s="396"/>
      <c r="H47" s="435"/>
      <c r="J47" s="398"/>
    </row>
    <row r="48" spans="2:15" ht="19.5" customHeight="1">
      <c r="B48" s="846">
        <f t="shared" si="0"/>
        <v>44</v>
      </c>
      <c r="C48" s="387" t="s">
        <v>70</v>
      </c>
      <c r="D48" s="388" t="s">
        <v>34</v>
      </c>
      <c r="E48" s="389" t="s">
        <v>610</v>
      </c>
      <c r="F48" s="437">
        <v>0.50600000000000001</v>
      </c>
      <c r="G48" s="393">
        <f>'T-8'!F45</f>
        <v>0.52400000000000002</v>
      </c>
      <c r="H48" s="435">
        <f t="shared" si="3"/>
        <v>3.5573122529644285E-2</v>
      </c>
    </row>
    <row r="49" spans="2:12">
      <c r="B49" s="846">
        <f t="shared" si="0"/>
        <v>45</v>
      </c>
      <c r="C49" s="387" t="s">
        <v>71</v>
      </c>
      <c r="D49" s="388" t="s">
        <v>60</v>
      </c>
      <c r="E49" s="389" t="s">
        <v>632</v>
      </c>
      <c r="F49" s="437">
        <v>2.3E-2</v>
      </c>
      <c r="G49" s="393">
        <f>'T-8'!F46</f>
        <v>2.4E-2</v>
      </c>
      <c r="H49" s="435">
        <f t="shared" si="3"/>
        <v>4.3478260869565188E-2</v>
      </c>
      <c r="I49" s="414"/>
      <c r="J49" s="397"/>
    </row>
    <row r="50" spans="2:12" ht="19.5" customHeight="1">
      <c r="B50" s="846">
        <f t="shared" si="0"/>
        <v>46</v>
      </c>
      <c r="C50" s="387" t="s">
        <v>72</v>
      </c>
      <c r="D50" s="388" t="s">
        <v>60</v>
      </c>
      <c r="E50" s="389" t="s">
        <v>633</v>
      </c>
      <c r="F50" s="437">
        <v>1.7000000000000001E-2</v>
      </c>
      <c r="G50" s="393">
        <f>'T-8'!F47</f>
        <v>1.7000000000000001E-2</v>
      </c>
      <c r="H50" s="435">
        <f t="shared" si="3"/>
        <v>0</v>
      </c>
    </row>
    <row r="51" spans="2:12">
      <c r="B51" s="846">
        <f t="shared" si="0"/>
        <v>47</v>
      </c>
      <c r="C51" s="387" t="s">
        <v>45</v>
      </c>
      <c r="D51" s="388" t="s">
        <v>73</v>
      </c>
      <c r="E51" s="389" t="s">
        <v>634</v>
      </c>
      <c r="F51" s="437">
        <v>1.46</v>
      </c>
      <c r="G51" s="393">
        <f>'T-8'!F48</f>
        <v>1.51</v>
      </c>
      <c r="H51" s="435">
        <f t="shared" si="3"/>
        <v>3.424657534246589E-2</v>
      </c>
    </row>
    <row r="52" spans="2:12">
      <c r="B52" s="846">
        <f t="shared" si="0"/>
        <v>48</v>
      </c>
      <c r="C52" s="382" t="s">
        <v>624</v>
      </c>
      <c r="D52" s="394"/>
      <c r="E52" s="415"/>
      <c r="F52" s="438"/>
      <c r="G52" s="396"/>
      <c r="H52" s="435"/>
    </row>
    <row r="53" spans="2:12" ht="21" customHeight="1">
      <c r="B53" s="846">
        <f t="shared" si="0"/>
        <v>49</v>
      </c>
      <c r="C53" s="387" t="s">
        <v>407</v>
      </c>
      <c r="D53" s="388" t="s">
        <v>34</v>
      </c>
      <c r="E53" s="389" t="s">
        <v>635</v>
      </c>
      <c r="F53" s="437">
        <v>0.6</v>
      </c>
      <c r="G53" s="393">
        <f>'T-8'!F35</f>
        <v>0.58899999999999997</v>
      </c>
      <c r="H53" s="435">
        <f t="shared" si="3"/>
        <v>-1.8333333333333313E-2</v>
      </c>
    </row>
    <row r="54" spans="2:12">
      <c r="B54" s="846">
        <f t="shared" si="0"/>
        <v>50</v>
      </c>
      <c r="C54" s="382" t="s">
        <v>625</v>
      </c>
      <c r="D54" s="394"/>
      <c r="E54" s="415"/>
      <c r="F54" s="438"/>
      <c r="G54" s="396"/>
      <c r="H54" s="435"/>
    </row>
    <row r="55" spans="2:12">
      <c r="B55" s="846">
        <f t="shared" si="0"/>
        <v>51</v>
      </c>
      <c r="C55" s="387" t="s">
        <v>186</v>
      </c>
      <c r="D55" s="388" t="s">
        <v>73</v>
      </c>
      <c r="E55" s="389" t="s">
        <v>636</v>
      </c>
      <c r="F55" s="437">
        <v>1.46</v>
      </c>
      <c r="G55" s="393">
        <f>'T-8'!F57</f>
        <v>1.38</v>
      </c>
      <c r="H55" s="435">
        <f t="shared" si="3"/>
        <v>-5.4794520547945202E-2</v>
      </c>
    </row>
    <row r="56" spans="2:12">
      <c r="B56" s="846">
        <f t="shared" si="0"/>
        <v>52</v>
      </c>
      <c r="C56" s="382" t="s">
        <v>626</v>
      </c>
      <c r="D56" s="394"/>
      <c r="E56" s="401"/>
      <c r="F56" s="438"/>
      <c r="G56" s="416"/>
      <c r="H56" s="435"/>
    </row>
    <row r="57" spans="2:12" ht="19.5" customHeight="1">
      <c r="B57" s="846">
        <f t="shared" si="0"/>
        <v>53</v>
      </c>
      <c r="C57" s="387" t="s">
        <v>70</v>
      </c>
      <c r="D57" s="388" t="s">
        <v>34</v>
      </c>
      <c r="E57" s="389" t="s">
        <v>611</v>
      </c>
      <c r="F57" s="437">
        <v>1.3240000000000001</v>
      </c>
      <c r="G57" s="393">
        <f>'T-9'!G13</f>
        <v>1.655</v>
      </c>
      <c r="H57" s="435">
        <f t="shared" si="3"/>
        <v>0.25</v>
      </c>
    </row>
    <row r="58" spans="2:12" ht="19.5" customHeight="1">
      <c r="B58" s="846">
        <f t="shared" si="0"/>
        <v>54</v>
      </c>
      <c r="C58" s="382" t="s">
        <v>627</v>
      </c>
      <c r="D58" s="394"/>
      <c r="E58" s="417"/>
      <c r="F58" s="440"/>
      <c r="G58" s="418"/>
      <c r="H58" s="435"/>
      <c r="J58" s="397"/>
    </row>
    <row r="59" spans="2:12" ht="19.5" customHeight="1">
      <c r="B59" s="846">
        <f t="shared" si="0"/>
        <v>55</v>
      </c>
      <c r="C59" s="387" t="s">
        <v>70</v>
      </c>
      <c r="D59" s="388" t="s">
        <v>73</v>
      </c>
      <c r="E59" s="389" t="s">
        <v>612</v>
      </c>
      <c r="F59" s="441">
        <v>0.05</v>
      </c>
      <c r="G59" s="419">
        <f>'T-10.2'!G12</f>
        <v>0.04</v>
      </c>
      <c r="H59" s="435">
        <f t="shared" ref="H59:H61" si="4">IF(F59=0,0,(G59/F59)-1)</f>
        <v>-0.20000000000000007</v>
      </c>
      <c r="J59" s="408"/>
      <c r="K59" s="408"/>
      <c r="L59" s="411"/>
    </row>
    <row r="60" spans="2:12">
      <c r="B60" s="846">
        <f t="shared" si="0"/>
        <v>56</v>
      </c>
      <c r="C60" s="382" t="s">
        <v>628</v>
      </c>
      <c r="D60" s="394"/>
      <c r="E60" s="401"/>
      <c r="F60" s="441"/>
      <c r="G60" s="420"/>
      <c r="H60" s="442"/>
    </row>
    <row r="61" spans="2:12">
      <c r="B61" s="846">
        <f t="shared" si="0"/>
        <v>57</v>
      </c>
      <c r="C61" s="387" t="s">
        <v>70</v>
      </c>
      <c r="D61" s="388" t="s">
        <v>73</v>
      </c>
      <c r="E61" s="389" t="s">
        <v>613</v>
      </c>
      <c r="F61" s="441">
        <v>0.04</v>
      </c>
      <c r="G61" s="419">
        <f>'T-10.2'!G18</f>
        <v>0.04</v>
      </c>
      <c r="H61" s="435">
        <f t="shared" si="4"/>
        <v>0</v>
      </c>
    </row>
    <row r="62" spans="2:12">
      <c r="B62" s="846">
        <f t="shared" si="0"/>
        <v>58</v>
      </c>
      <c r="C62" s="382" t="s">
        <v>629</v>
      </c>
      <c r="D62" s="394"/>
      <c r="E62" s="401"/>
      <c r="F62" s="443"/>
      <c r="G62" s="416"/>
      <c r="H62" s="383"/>
      <c r="I62" s="421"/>
    </row>
    <row r="63" spans="2:12">
      <c r="B63" s="846">
        <f t="shared" si="0"/>
        <v>59</v>
      </c>
      <c r="C63" s="387" t="s">
        <v>351</v>
      </c>
      <c r="D63" s="388" t="s">
        <v>34</v>
      </c>
      <c r="E63" s="389" t="s">
        <v>637</v>
      </c>
      <c r="F63" s="441">
        <v>0.36499999999999999</v>
      </c>
      <c r="G63" s="393">
        <f>'T-10.1'!I61</f>
        <v>0.38900000000000001</v>
      </c>
      <c r="H63" s="435">
        <f>IF(F63=0,0,(G63/F63)-1)</f>
        <v>6.5753424657534199E-2</v>
      </c>
    </row>
    <row r="64" spans="2:12" ht="19.5" customHeight="1">
      <c r="B64" s="846">
        <f t="shared" si="0"/>
        <v>60</v>
      </c>
      <c r="C64" s="422" t="s">
        <v>353</v>
      </c>
      <c r="D64" s="394"/>
      <c r="E64" s="401"/>
      <c r="F64" s="438"/>
      <c r="G64" s="396"/>
      <c r="H64" s="439"/>
    </row>
    <row r="65" spans="2:9">
      <c r="B65" s="846">
        <f t="shared" si="0"/>
        <v>61</v>
      </c>
      <c r="C65" s="387" t="s">
        <v>70</v>
      </c>
      <c r="D65" s="388" t="s">
        <v>34</v>
      </c>
      <c r="E65" s="389" t="s">
        <v>638</v>
      </c>
      <c r="F65" s="437">
        <v>0.317</v>
      </c>
      <c r="G65" s="423">
        <f>'T-10.1'!I48</f>
        <v>0.316</v>
      </c>
      <c r="H65" s="435">
        <f t="shared" ref="H65:H68" si="5">IF(F65=0,0,(G65/F65)-1)</f>
        <v>-3.154574132492094E-3</v>
      </c>
    </row>
    <row r="66" spans="2:9">
      <c r="B66" s="846">
        <f t="shared" si="0"/>
        <v>62</v>
      </c>
      <c r="C66" s="387" t="s">
        <v>71</v>
      </c>
      <c r="D66" s="388" t="s">
        <v>60</v>
      </c>
      <c r="E66" s="389" t="s">
        <v>639</v>
      </c>
      <c r="F66" s="437">
        <v>1.4999999999999999E-2</v>
      </c>
      <c r="G66" s="393">
        <f>'T-10.1'!I49</f>
        <v>1.4999999999999999E-2</v>
      </c>
      <c r="H66" s="435">
        <f t="shared" si="5"/>
        <v>0</v>
      </c>
    </row>
    <row r="67" spans="2:9">
      <c r="B67" s="846">
        <f t="shared" si="0"/>
        <v>63</v>
      </c>
      <c r="C67" s="387" t="s">
        <v>72</v>
      </c>
      <c r="D67" s="388" t="s">
        <v>60</v>
      </c>
      <c r="E67" s="389" t="s">
        <v>640</v>
      </c>
      <c r="F67" s="437">
        <v>0.01</v>
      </c>
      <c r="G67" s="393">
        <f>'T-10.1'!I50</f>
        <v>0.01</v>
      </c>
      <c r="H67" s="435">
        <f t="shared" si="5"/>
        <v>0</v>
      </c>
    </row>
    <row r="68" spans="2:9">
      <c r="B68" s="846">
        <f t="shared" si="0"/>
        <v>64</v>
      </c>
      <c r="C68" s="387" t="s">
        <v>45</v>
      </c>
      <c r="D68" s="388" t="s">
        <v>73</v>
      </c>
      <c r="E68" s="389" t="s">
        <v>641</v>
      </c>
      <c r="F68" s="437">
        <v>0.91</v>
      </c>
      <c r="G68" s="393">
        <f>'T-10.1'!I51</f>
        <v>0.91</v>
      </c>
      <c r="H68" s="435">
        <f t="shared" si="5"/>
        <v>0</v>
      </c>
    </row>
    <row r="69" spans="2:9" ht="25.5" customHeight="1">
      <c r="B69" s="846">
        <f t="shared" si="0"/>
        <v>65</v>
      </c>
      <c r="C69" s="382" t="s">
        <v>630</v>
      </c>
      <c r="D69" s="394"/>
      <c r="E69" s="424"/>
      <c r="F69" s="383"/>
      <c r="G69" s="425"/>
      <c r="H69" s="383"/>
      <c r="I69" s="400"/>
    </row>
    <row r="70" spans="2:9" ht="30" customHeight="1">
      <c r="B70" s="846">
        <f t="shared" ref="B70:B73" si="6">B69+1</f>
        <v>66</v>
      </c>
      <c r="C70" s="387" t="s">
        <v>70</v>
      </c>
      <c r="D70" s="388" t="s">
        <v>34</v>
      </c>
      <c r="E70" s="426" t="s">
        <v>642</v>
      </c>
      <c r="F70" s="437">
        <v>0</v>
      </c>
      <c r="G70" s="393">
        <f>'T-10.1'!I68</f>
        <v>0</v>
      </c>
      <c r="H70" s="435">
        <f t="shared" ref="H70:H73" si="7">IF(F70=0,0,(G70/F70)-1)</f>
        <v>0</v>
      </c>
      <c r="I70" s="400"/>
    </row>
    <row r="71" spans="2:9">
      <c r="B71" s="846">
        <f t="shared" si="6"/>
        <v>67</v>
      </c>
      <c r="C71" s="387" t="s">
        <v>71</v>
      </c>
      <c r="D71" s="388" t="s">
        <v>60</v>
      </c>
      <c r="E71" s="426" t="s">
        <v>642</v>
      </c>
      <c r="F71" s="437">
        <v>0</v>
      </c>
      <c r="G71" s="393">
        <f>'T-10.1'!I68</f>
        <v>0</v>
      </c>
      <c r="H71" s="435">
        <f t="shared" si="7"/>
        <v>0</v>
      </c>
      <c r="I71" s="400"/>
    </row>
    <row r="72" spans="2:9">
      <c r="B72" s="846">
        <f t="shared" si="6"/>
        <v>68</v>
      </c>
      <c r="C72" s="387" t="s">
        <v>72</v>
      </c>
      <c r="D72" s="388" t="s">
        <v>60</v>
      </c>
      <c r="E72" s="426" t="s">
        <v>642</v>
      </c>
      <c r="F72" s="437">
        <v>0</v>
      </c>
      <c r="G72" s="393">
        <f>'T-10.1'!I68</f>
        <v>0</v>
      </c>
      <c r="H72" s="435">
        <f t="shared" si="7"/>
        <v>0</v>
      </c>
      <c r="I72" s="400"/>
    </row>
    <row r="73" spans="2:9">
      <c r="B73" s="846">
        <f t="shared" si="6"/>
        <v>69</v>
      </c>
      <c r="C73" s="387" t="s">
        <v>45</v>
      </c>
      <c r="D73" s="388" t="s">
        <v>73</v>
      </c>
      <c r="E73" s="426" t="s">
        <v>642</v>
      </c>
      <c r="F73" s="437">
        <v>0</v>
      </c>
      <c r="G73" s="393">
        <f>'T-10.1'!I68</f>
        <v>0</v>
      </c>
      <c r="H73" s="435">
        <f t="shared" si="7"/>
        <v>0</v>
      </c>
      <c r="I73" s="400"/>
    </row>
    <row r="74" spans="2:9">
      <c r="B74" s="848"/>
      <c r="C74" s="400"/>
      <c r="D74" s="427"/>
      <c r="E74" s="428"/>
      <c r="F74" s="427"/>
      <c r="G74" s="427"/>
      <c r="H74" s="427"/>
      <c r="I74" s="400"/>
    </row>
    <row r="75" spans="2:9">
      <c r="B75" s="848"/>
      <c r="C75" s="400"/>
      <c r="D75" s="427"/>
      <c r="E75" s="428"/>
      <c r="F75" s="427"/>
      <c r="G75" s="427"/>
      <c r="H75" s="427"/>
      <c r="I75" s="400"/>
    </row>
    <row r="76" spans="2:9">
      <c r="B76" s="848"/>
      <c r="C76" s="400"/>
      <c r="D76" s="427"/>
      <c r="E76" s="428"/>
      <c r="F76" s="427"/>
      <c r="G76" s="427"/>
      <c r="H76" s="427"/>
      <c r="I76" s="400"/>
    </row>
    <row r="77" spans="2:9">
      <c r="B77" s="848"/>
      <c r="C77" s="400"/>
      <c r="D77" s="427"/>
      <c r="E77" s="428"/>
      <c r="F77" s="427"/>
      <c r="G77" s="427"/>
      <c r="H77" s="427"/>
      <c r="I77" s="400"/>
    </row>
    <row r="78" spans="2:9">
      <c r="B78" s="848"/>
      <c r="C78" s="400"/>
      <c r="D78" s="427"/>
      <c r="E78" s="428"/>
      <c r="F78" s="427"/>
      <c r="G78" s="427"/>
      <c r="H78" s="427"/>
      <c r="I78" s="400"/>
    </row>
    <row r="79" spans="2:9">
      <c r="B79" s="848"/>
      <c r="C79" s="400"/>
      <c r="D79" s="427"/>
      <c r="E79" s="428"/>
      <c r="F79" s="427"/>
      <c r="G79" s="427"/>
      <c r="H79" s="427"/>
      <c r="I79" s="400"/>
    </row>
    <row r="80" spans="2:9">
      <c r="B80" s="848"/>
      <c r="C80" s="400"/>
      <c r="D80" s="427"/>
      <c r="E80" s="428"/>
      <c r="F80" s="427"/>
      <c r="G80" s="427"/>
      <c r="H80" s="427"/>
      <c r="I80" s="400"/>
    </row>
    <row r="81" spans="2:9">
      <c r="B81" s="849"/>
      <c r="C81" s="400"/>
      <c r="D81" s="427"/>
      <c r="E81" s="428"/>
      <c r="F81" s="427"/>
      <c r="G81" s="427"/>
      <c r="H81" s="427"/>
      <c r="I81" s="400"/>
    </row>
    <row r="82" spans="2:9">
      <c r="B82" s="848"/>
      <c r="C82" s="429"/>
      <c r="D82" s="427"/>
      <c r="E82" s="428"/>
      <c r="F82" s="427"/>
      <c r="G82" s="427"/>
      <c r="H82" s="427"/>
      <c r="I82" s="400"/>
    </row>
    <row r="83" spans="2:9">
      <c r="B83" s="848"/>
      <c r="C83" s="400"/>
      <c r="D83" s="427"/>
      <c r="E83" s="428"/>
      <c r="F83" s="427"/>
      <c r="G83" s="427"/>
      <c r="H83" s="427"/>
      <c r="I83" s="400"/>
    </row>
    <row r="84" spans="2:9">
      <c r="B84" s="848"/>
      <c r="C84" s="400"/>
      <c r="D84" s="427"/>
      <c r="E84" s="428"/>
      <c r="F84" s="430"/>
      <c r="G84" s="427"/>
      <c r="H84" s="427"/>
      <c r="I84" s="400"/>
    </row>
    <row r="85" spans="2:9">
      <c r="B85" s="848"/>
      <c r="C85" s="400"/>
      <c r="D85" s="427"/>
      <c r="E85" s="428"/>
      <c r="F85" s="430"/>
      <c r="G85" s="427"/>
      <c r="H85" s="427"/>
      <c r="I85" s="400"/>
    </row>
    <row r="86" spans="2:9">
      <c r="B86" s="848"/>
      <c r="C86" s="400"/>
      <c r="D86" s="427"/>
      <c r="E86" s="428"/>
      <c r="F86" s="427"/>
      <c r="G86" s="427"/>
      <c r="H86" s="427"/>
      <c r="I86" s="400"/>
    </row>
    <row r="87" spans="2:9">
      <c r="B87" s="848"/>
      <c r="C87" s="400"/>
      <c r="D87" s="427"/>
      <c r="E87" s="428"/>
      <c r="F87" s="427"/>
      <c r="G87" s="427"/>
      <c r="H87" s="427"/>
      <c r="I87" s="400"/>
    </row>
    <row r="88" spans="2:9">
      <c r="B88" s="848"/>
      <c r="C88" s="429"/>
      <c r="D88" s="427"/>
      <c r="E88" s="428"/>
      <c r="F88" s="427"/>
      <c r="G88" s="427"/>
      <c r="H88" s="427"/>
      <c r="I88" s="400"/>
    </row>
    <row r="89" spans="2:9">
      <c r="B89" s="848"/>
      <c r="C89" s="400"/>
      <c r="D89" s="427"/>
      <c r="E89" s="431"/>
      <c r="F89" s="427"/>
      <c r="G89" s="427"/>
      <c r="H89" s="427"/>
      <c r="I89" s="400"/>
    </row>
    <row r="90" spans="2:9">
      <c r="B90" s="848"/>
      <c r="C90" s="400"/>
      <c r="D90" s="427"/>
      <c r="E90" s="431"/>
      <c r="F90" s="430"/>
      <c r="G90" s="427"/>
      <c r="H90" s="427"/>
      <c r="I90" s="400"/>
    </row>
    <row r="91" spans="2:9">
      <c r="B91" s="848"/>
      <c r="C91" s="400"/>
      <c r="D91" s="427"/>
      <c r="E91" s="431"/>
      <c r="F91" s="430"/>
      <c r="G91" s="427"/>
      <c r="H91" s="427"/>
      <c r="I91" s="400"/>
    </row>
    <row r="92" spans="2:9">
      <c r="B92" s="849"/>
      <c r="C92" s="400"/>
      <c r="D92" s="427"/>
      <c r="E92" s="431"/>
      <c r="F92" s="427"/>
      <c r="G92" s="427"/>
      <c r="H92" s="427"/>
      <c r="I92" s="400"/>
    </row>
    <row r="93" spans="2:9">
      <c r="B93" s="849"/>
      <c r="C93" s="400"/>
      <c r="D93" s="427"/>
      <c r="E93" s="431"/>
      <c r="F93" s="427"/>
      <c r="G93" s="427"/>
      <c r="H93" s="427"/>
      <c r="I93" s="400"/>
    </row>
    <row r="94" spans="2:9">
      <c r="B94" s="849"/>
      <c r="C94" s="400"/>
      <c r="D94" s="427"/>
      <c r="E94" s="431"/>
      <c r="F94" s="427"/>
      <c r="G94" s="427"/>
      <c r="H94" s="427"/>
      <c r="I94" s="400"/>
    </row>
    <row r="95" spans="2:9">
      <c r="I95" s="400"/>
    </row>
    <row r="96" spans="2:9">
      <c r="I96" s="400"/>
    </row>
    <row r="97" spans="9:9">
      <c r="I97" s="400"/>
    </row>
    <row r="98" spans="9:9">
      <c r="I98" s="400"/>
    </row>
    <row r="99" spans="9:9">
      <c r="I99" s="400"/>
    </row>
  </sheetData>
  <mergeCells count="2">
    <mergeCell ref="B1:H1"/>
    <mergeCell ref="B2:H2"/>
  </mergeCells>
  <phoneticPr fontId="22" type="noConversion"/>
  <conditionalFormatting sqref="H63 H16:H58">
    <cfRule type="cellIs" dxfId="10" priority="12" stopIfTrue="1" operator="lessThan">
      <formula>0</formula>
    </cfRule>
  </conditionalFormatting>
  <conditionalFormatting sqref="H65:H68">
    <cfRule type="cellIs" dxfId="9" priority="11" stopIfTrue="1" operator="lessThan">
      <formula>0</formula>
    </cfRule>
  </conditionalFormatting>
  <conditionalFormatting sqref="H70:H73">
    <cfRule type="cellIs" dxfId="8" priority="10" stopIfTrue="1" operator="lessThan">
      <formula>0</formula>
    </cfRule>
  </conditionalFormatting>
  <conditionalFormatting sqref="H59">
    <cfRule type="cellIs" dxfId="7" priority="9" stopIfTrue="1" operator="lessThan">
      <formula>0</formula>
    </cfRule>
  </conditionalFormatting>
  <conditionalFormatting sqref="H61">
    <cfRule type="cellIs" dxfId="6" priority="8" stopIfTrue="1" operator="lessThan">
      <formula>0</formula>
    </cfRule>
  </conditionalFormatting>
  <conditionalFormatting sqref="H15">
    <cfRule type="cellIs" dxfId="5" priority="3" stopIfTrue="1" operator="lessThan">
      <formula>0</formula>
    </cfRule>
  </conditionalFormatting>
  <conditionalFormatting sqref="H62 H64 H69">
    <cfRule type="cellIs" dxfId="4" priority="23" stopIfTrue="1" operator="lessThan">
      <formula>0</formula>
    </cfRule>
  </conditionalFormatting>
  <conditionalFormatting sqref="H60">
    <cfRule type="cellIs" dxfId="3" priority="22" stopIfTrue="1" operator="lessThan">
      <formula>0</formula>
    </cfRule>
  </conditionalFormatting>
  <conditionalFormatting sqref="H6:H14">
    <cfRule type="cellIs" dxfId="2" priority="21" stopIfTrue="1" operator="lessThan">
      <formula>0</formula>
    </cfRule>
  </conditionalFormatting>
  <printOptions horizontalCentered="1"/>
  <pageMargins left="0.5" right="0.5" top="0.5" bottom="0.5" header="0.25" footer="0.5"/>
  <pageSetup scale="63" fitToHeight="0" orientation="landscape" blackAndWhite="1" horizontalDpi="96" verticalDpi="96" r:id="rId1"/>
  <headerFooter alignWithMargins="0"/>
  <rowBreaks count="1" manualBreakCount="1">
    <brk id="36" min="1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0070C0"/>
    <pageSetUpPr fitToPage="1"/>
  </sheetPr>
  <dimension ref="A1:BG115"/>
  <sheetViews>
    <sheetView zoomScale="80" zoomScaleNormal="80" workbookViewId="0">
      <selection sqref="A1:I1"/>
    </sheetView>
  </sheetViews>
  <sheetFormatPr defaultColWidth="9.33203125" defaultRowHeight="15.6"/>
  <cols>
    <col min="1" max="1" width="8.33203125" style="842" customWidth="1"/>
    <col min="2" max="2" width="66.6640625" style="287" customWidth="1"/>
    <col min="3" max="4" width="19.33203125" style="287" customWidth="1"/>
    <col min="5" max="5" width="21" style="287" customWidth="1"/>
    <col min="6" max="8" width="19.33203125" style="287" customWidth="1"/>
    <col min="9" max="9" width="16.6640625" style="287" customWidth="1"/>
    <col min="10" max="10" width="14" style="287" customWidth="1"/>
    <col min="11" max="11" width="23.33203125" style="283" bestFit="1" customWidth="1"/>
    <col min="12" max="12" width="19.6640625" style="284" customWidth="1"/>
    <col min="13" max="13" width="19.6640625" style="283" customWidth="1"/>
    <col min="14" max="14" width="14.6640625" style="283" bestFit="1" customWidth="1"/>
    <col min="15" max="15" width="15.44140625" style="285" customWidth="1"/>
    <col min="16" max="16384" width="9.33203125" style="285"/>
  </cols>
  <sheetData>
    <row r="1" spans="1:14" s="279" customFormat="1" ht="20.25" customHeight="1">
      <c r="A1" s="934" t="s">
        <v>270</v>
      </c>
      <c r="B1" s="934"/>
      <c r="C1" s="934"/>
      <c r="D1" s="934"/>
      <c r="E1" s="934"/>
      <c r="F1" s="934"/>
      <c r="G1" s="934"/>
      <c r="H1" s="934"/>
      <c r="I1" s="934"/>
      <c r="J1" s="276"/>
      <c r="K1" s="844"/>
      <c r="L1" s="278"/>
      <c r="M1" s="277"/>
      <c r="N1" s="277"/>
    </row>
    <row r="2" spans="1:14" s="279" customFormat="1" ht="14.4" customHeight="1">
      <c r="A2" s="934" t="str">
        <f>CONCATENATE("Revenue at FY "&amp;Input!A2&amp;"/"&amp;Input!A3&amp;" and "&amp;Input!A4&amp;"/"&amp;Input!A5&amp;" Rates")</f>
        <v>Revenue at FY 2020/2021 and 2022/2023 Rates</v>
      </c>
      <c r="B2" s="934"/>
      <c r="C2" s="934"/>
      <c r="D2" s="934"/>
      <c r="E2" s="934"/>
      <c r="F2" s="934"/>
      <c r="G2" s="934"/>
      <c r="H2" s="934"/>
      <c r="I2" s="934"/>
      <c r="J2" s="276"/>
      <c r="K2" s="365" t="s">
        <v>395</v>
      </c>
      <c r="L2" s="366">
        <v>1</v>
      </c>
      <c r="M2" s="277"/>
      <c r="N2" s="277"/>
    </row>
    <row r="3" spans="1:14" s="279" customFormat="1" ht="21" customHeight="1">
      <c r="A3" s="878"/>
      <c r="B3" s="878"/>
      <c r="C3" s="878"/>
      <c r="D3" s="890" t="s">
        <v>697</v>
      </c>
      <c r="E3" s="878"/>
      <c r="F3" s="878"/>
      <c r="G3" s="878"/>
      <c r="H3" s="878"/>
      <c r="I3" s="878"/>
      <c r="J3" s="276"/>
      <c r="K3" s="365"/>
      <c r="L3" s="366"/>
      <c r="M3" s="277"/>
      <c r="N3" s="277"/>
    </row>
    <row r="4" spans="1:14">
      <c r="A4" s="280"/>
      <c r="B4" s="281" t="s">
        <v>0</v>
      </c>
      <c r="C4" s="281" t="s">
        <v>1</v>
      </c>
      <c r="D4" s="281" t="s">
        <v>2</v>
      </c>
      <c r="E4" s="281" t="s">
        <v>3</v>
      </c>
      <c r="F4" s="281" t="s">
        <v>4</v>
      </c>
      <c r="G4" s="281" t="s">
        <v>5</v>
      </c>
      <c r="H4" s="281" t="s">
        <v>6</v>
      </c>
      <c r="I4" s="281" t="s">
        <v>7</v>
      </c>
      <c r="J4" s="282"/>
      <c r="K4" s="283" t="s">
        <v>401</v>
      </c>
    </row>
    <row r="5" spans="1:14">
      <c r="A5" s="280"/>
      <c r="B5" s="281"/>
      <c r="C5" s="936" t="s">
        <v>369</v>
      </c>
      <c r="D5" s="937"/>
      <c r="E5" s="281"/>
      <c r="F5" s="936" t="s">
        <v>370</v>
      </c>
      <c r="G5" s="936"/>
      <c r="H5" s="281"/>
      <c r="I5" s="281"/>
      <c r="J5" s="282"/>
      <c r="K5" s="283" t="s">
        <v>402</v>
      </c>
    </row>
    <row r="6" spans="1:14">
      <c r="A6" s="280"/>
      <c r="B6" s="286"/>
      <c r="C6" s="935" t="s">
        <v>647</v>
      </c>
      <c r="D6" s="935"/>
      <c r="E6" s="281" t="s">
        <v>169</v>
      </c>
      <c r="F6" s="935" t="s">
        <v>648</v>
      </c>
      <c r="G6" s="935"/>
      <c r="H6" s="281" t="s">
        <v>169</v>
      </c>
      <c r="I6" s="281" t="s">
        <v>137</v>
      </c>
      <c r="K6" s="288"/>
      <c r="L6" s="933"/>
      <c r="M6" s="933"/>
      <c r="N6" s="289"/>
    </row>
    <row r="7" spans="1:14">
      <c r="A7" s="290"/>
      <c r="B7" s="291" t="s">
        <v>151</v>
      </c>
      <c r="C7" s="292" t="str">
        <f>+CONCATENATE("FY "&amp;Input!$A$2)</f>
        <v>FY 2020</v>
      </c>
      <c r="D7" s="292" t="str">
        <f>+CONCATENATE("FY "&amp;Input!$A$3)</f>
        <v>FY 2021</v>
      </c>
      <c r="E7" s="292" t="str">
        <f>+CONCATENATE("FY "&amp;Input!$A$2&amp;"/"&amp;Input!$A$3)</f>
        <v>FY 2020/2021</v>
      </c>
      <c r="F7" s="292" t="str">
        <f>+CONCATENATE("FY "&amp;Input!$A$4)</f>
        <v>FY 2022</v>
      </c>
      <c r="G7" s="292" t="str">
        <f>+CONCATENATE("FY "&amp;Input!$A$5)</f>
        <v>FY 2023</v>
      </c>
      <c r="H7" s="292" t="str">
        <f>+CONCATENATE("FY "&amp;Input!$A$4&amp;"/"&amp;Input!$A$5)</f>
        <v>FY 2022/2023</v>
      </c>
      <c r="I7" s="292" t="s">
        <v>168</v>
      </c>
      <c r="K7" s="293"/>
      <c r="L7" s="289"/>
      <c r="M7" s="289"/>
      <c r="N7" s="289"/>
    </row>
    <row r="8" spans="1:14" ht="13.5" customHeight="1">
      <c r="A8" s="294">
        <v>1</v>
      </c>
      <c r="B8" s="290" t="s">
        <v>368</v>
      </c>
      <c r="C8" s="281"/>
      <c r="D8" s="281"/>
      <c r="E8" s="281"/>
      <c r="F8" s="295"/>
      <c r="G8" s="295"/>
      <c r="H8" s="281"/>
      <c r="I8" s="296"/>
      <c r="K8" s="297"/>
      <c r="L8" s="298"/>
      <c r="M8" s="293"/>
      <c r="N8" s="293"/>
    </row>
    <row r="9" spans="1:14">
      <c r="A9" s="294">
        <f>A8+1</f>
        <v>2</v>
      </c>
      <c r="B9" s="299" t="s">
        <v>380</v>
      </c>
      <c r="C9" s="300">
        <f>'T-6'!E8*'T-4'!P8/SUM('T-4'!P8:P9)</f>
        <v>20.004359999999998</v>
      </c>
      <c r="D9" s="300">
        <f>'T-6'!E9*'T-4'!P26/SUM('T-4'!P26:P27)</f>
        <v>20.004359999999998</v>
      </c>
      <c r="E9" s="301">
        <f>AVERAGE(C9:D9)</f>
        <v>20.004359999999998</v>
      </c>
      <c r="F9" s="301">
        <f>'T-4'!P8*'T-11'!G14*12</f>
        <v>21.237061102702704</v>
      </c>
      <c r="G9" s="301">
        <f>'T-4'!P26*'T-11'!G14*12</f>
        <v>21.237061102702704</v>
      </c>
      <c r="H9" s="301">
        <f>AVERAGE(F9:G9)</f>
        <v>21.237061102702704</v>
      </c>
      <c r="I9" s="302">
        <f>IF(E9=0,0,(H9/E9)-1)</f>
        <v>6.1621621621621658E-2</v>
      </c>
      <c r="J9" s="303"/>
      <c r="K9" s="303"/>
      <c r="L9" s="304"/>
      <c r="M9" s="305"/>
    </row>
    <row r="10" spans="1:14">
      <c r="A10" s="294">
        <f t="shared" ref="A10:A16" si="0">A9+1</f>
        <v>3</v>
      </c>
      <c r="B10" s="299" t="s">
        <v>381</v>
      </c>
      <c r="C10" s="300">
        <f>'T-6'!E8*'T-4'!P9/SUM('T-4'!P8:P9)</f>
        <v>0</v>
      </c>
      <c r="D10" s="300">
        <f>'T-6'!E9*'T-4'!P27/SUM('T-4'!P26:P27)</f>
        <v>0</v>
      </c>
      <c r="E10" s="301">
        <f>AVERAGE(C10:D10)</f>
        <v>0</v>
      </c>
      <c r="F10" s="301">
        <f>'T-4'!P9*'T-11'!G24*12</f>
        <v>0</v>
      </c>
      <c r="G10" s="301">
        <f>'T-4'!P27*'T-11'!G34*12</f>
        <v>0</v>
      </c>
      <c r="H10" s="301">
        <f>AVERAGE(F10:G10)</f>
        <v>0</v>
      </c>
      <c r="I10" s="302">
        <f>IF(E10=0,0,(H10/E10)-1)</f>
        <v>0</v>
      </c>
      <c r="K10" s="297"/>
      <c r="L10" s="306"/>
      <c r="M10" s="305"/>
    </row>
    <row r="11" spans="1:14">
      <c r="A11" s="294">
        <f t="shared" si="0"/>
        <v>4</v>
      </c>
      <c r="B11" s="299" t="s">
        <v>461</v>
      </c>
      <c r="C11" s="301">
        <f>+SUM(C9:C10)</f>
        <v>20.004359999999998</v>
      </c>
      <c r="D11" s="301">
        <f t="shared" ref="D11:H11" si="1">+SUM(D9:D10)</f>
        <v>20.004359999999998</v>
      </c>
      <c r="E11" s="301">
        <f t="shared" si="1"/>
        <v>20.004359999999998</v>
      </c>
      <c r="F11" s="301">
        <f t="shared" si="1"/>
        <v>21.237061102702704</v>
      </c>
      <c r="G11" s="301">
        <f t="shared" si="1"/>
        <v>21.237061102702704</v>
      </c>
      <c r="H11" s="301">
        <f t="shared" si="1"/>
        <v>21.237061102702704</v>
      </c>
      <c r="I11" s="302">
        <f>IF(E11=0,0,(H11/E11)-1)</f>
        <v>6.1621621621621658E-2</v>
      </c>
      <c r="K11" s="307"/>
      <c r="L11" s="306"/>
      <c r="M11" s="305"/>
    </row>
    <row r="12" spans="1:14">
      <c r="A12" s="294">
        <f t="shared" si="0"/>
        <v>5</v>
      </c>
      <c r="B12" s="308" t="str">
        <f>CONCATENATE("BP-"&amp;Input!A4&amp;" Transmission Ratio from Table 6")</f>
        <v>BP-2022 Transmission Ratio from Table 6</v>
      </c>
      <c r="C12" s="367">
        <f>'T-6'!F20</f>
        <v>0.83910386965376782</v>
      </c>
      <c r="D12" s="286"/>
      <c r="E12" s="301"/>
      <c r="F12" s="301"/>
      <c r="G12" s="301"/>
      <c r="H12" s="301"/>
      <c r="I12" s="302"/>
      <c r="K12" s="309"/>
      <c r="L12" s="306"/>
      <c r="M12" s="310"/>
    </row>
    <row r="13" spans="1:14">
      <c r="A13" s="294">
        <f t="shared" si="0"/>
        <v>6</v>
      </c>
      <c r="B13" s="308" t="str">
        <f>CONCATENATE("BP-"&amp;Input!A2&amp;" Transmission Ratio from Table 6")</f>
        <v>BP-2020 Transmission Ratio from Table 6</v>
      </c>
      <c r="C13" s="367">
        <f>'T-6'!F25</f>
        <v>0.82864864864864862</v>
      </c>
      <c r="D13" s="286"/>
      <c r="E13" s="301"/>
      <c r="F13" s="301"/>
      <c r="G13" s="301"/>
      <c r="H13" s="301"/>
      <c r="I13" s="302"/>
      <c r="K13" s="309"/>
      <c r="L13" s="306"/>
      <c r="M13" s="306"/>
    </row>
    <row r="14" spans="1:14">
      <c r="A14" s="294">
        <f t="shared" si="0"/>
        <v>7</v>
      </c>
      <c r="B14" s="308" t="s">
        <v>192</v>
      </c>
      <c r="C14" s="301">
        <f>SUM(C9:C10)*C13</f>
        <v>16.57658588108108</v>
      </c>
      <c r="D14" s="301">
        <f>SUM(D9:D10)*C13</f>
        <v>16.57658588108108</v>
      </c>
      <c r="E14" s="301">
        <f>AVERAGE(C14:D14)</f>
        <v>16.57658588108108</v>
      </c>
      <c r="F14" s="301">
        <f>(F9*C12)+(F10*C13)</f>
        <v>17.820100151351351</v>
      </c>
      <c r="G14" s="301">
        <f>(G9*C12)+(G10*C12)</f>
        <v>17.820100151351351</v>
      </c>
      <c r="H14" s="301">
        <f>AVERAGE(F14:G14)</f>
        <v>17.820100151351351</v>
      </c>
      <c r="I14" s="302">
        <f>IF(E14=0,0,(H14/E14)-1)</f>
        <v>7.5016307893020384E-2</v>
      </c>
      <c r="K14" s="311"/>
      <c r="L14" s="306"/>
      <c r="M14" s="306"/>
    </row>
    <row r="15" spans="1:14">
      <c r="A15" s="294">
        <f t="shared" si="0"/>
        <v>8</v>
      </c>
      <c r="B15" s="308"/>
      <c r="C15" s="301"/>
      <c r="D15" s="301"/>
      <c r="E15" s="301"/>
      <c r="F15" s="301"/>
      <c r="G15" s="301"/>
      <c r="H15" s="301"/>
      <c r="I15" s="302"/>
      <c r="K15" s="307"/>
      <c r="L15" s="306"/>
      <c r="M15" s="306"/>
    </row>
    <row r="16" spans="1:14">
      <c r="A16" s="294">
        <f t="shared" si="0"/>
        <v>9</v>
      </c>
      <c r="B16" s="299" t="s">
        <v>129</v>
      </c>
      <c r="C16" s="301">
        <f>'T-4'!P18*'T-11'!F36*12</f>
        <v>143123.29867999998</v>
      </c>
      <c r="D16" s="301">
        <f>'T-4'!P36*'T-11'!F36*12</f>
        <v>145603.10415</v>
      </c>
      <c r="E16" s="301">
        <f>AVERAGE(C16:D16)</f>
        <v>144363.20141499999</v>
      </c>
      <c r="F16" s="301">
        <f>'T-4'!P18*'T-11'!G36*12</f>
        <v>164135.18894357991</v>
      </c>
      <c r="G16" s="301">
        <f>'T-4'!P36*'T-11'!G36*12</f>
        <v>166979.05394051387</v>
      </c>
      <c r="H16" s="301">
        <f>AVERAGE(F16:G16)</f>
        <v>165557.12144204689</v>
      </c>
      <c r="I16" s="302">
        <f t="shared" ref="I16:I24" si="2">IF(E16=0,0,(H16/E16)-1)</f>
        <v>0.14680971202710369</v>
      </c>
      <c r="K16" s="297"/>
      <c r="L16" s="306"/>
      <c r="M16" s="306"/>
    </row>
    <row r="17" spans="1:22">
      <c r="A17" s="294">
        <f t="shared" ref="A17:A81" si="3">A16+1</f>
        <v>10</v>
      </c>
      <c r="B17" s="308" t="s">
        <v>157</v>
      </c>
      <c r="C17" s="312">
        <f>'T-4'!P17*'T-11'!F63*12</f>
        <v>30022.986818802936</v>
      </c>
      <c r="D17" s="312">
        <f>'T-4'!P35*'T-11'!F63*12</f>
        <v>30534.070385460189</v>
      </c>
      <c r="E17" s="312">
        <f>AVERAGE(C17:D17)</f>
        <v>30278.528602131562</v>
      </c>
      <c r="F17" s="312">
        <f>'T-4'!P17*'T-11'!G63*12</f>
        <v>31997.101020587237</v>
      </c>
      <c r="G17" s="312">
        <f>'T-4'!P35*'T-11'!G63*12</f>
        <v>32541.790082038395</v>
      </c>
      <c r="H17" s="312">
        <f>AVERAGE(F17:G17)</f>
        <v>32269.445551312816</v>
      </c>
      <c r="I17" s="302">
        <f t="shared" si="2"/>
        <v>6.5753424657534199E-2</v>
      </c>
      <c r="K17" s="305"/>
      <c r="L17" s="313"/>
      <c r="M17" s="313"/>
    </row>
    <row r="18" spans="1:22">
      <c r="A18" s="294">
        <f t="shared" si="3"/>
        <v>11</v>
      </c>
      <c r="B18" s="308" t="s">
        <v>170</v>
      </c>
      <c r="C18" s="314">
        <f t="shared" ref="C18:F18" si="4">SUM(C16:C17)</f>
        <v>173146.2854988029</v>
      </c>
      <c r="D18" s="314">
        <f t="shared" si="4"/>
        <v>176137.17453546019</v>
      </c>
      <c r="E18" s="314">
        <f t="shared" si="4"/>
        <v>174641.73001713154</v>
      </c>
      <c r="F18" s="314">
        <f t="shared" si="4"/>
        <v>196132.28996416714</v>
      </c>
      <c r="G18" s="314">
        <f>SUM(G16:G17)</f>
        <v>199520.84402255225</v>
      </c>
      <c r="H18" s="314">
        <f>SUM(H16:H17)</f>
        <v>197826.56699335971</v>
      </c>
      <c r="I18" s="296">
        <f t="shared" si="2"/>
        <v>0.13275656954356685</v>
      </c>
      <c r="K18" s="297"/>
      <c r="L18" s="297"/>
      <c r="M18" s="297"/>
    </row>
    <row r="19" spans="1:22">
      <c r="A19" s="294">
        <f t="shared" si="3"/>
        <v>12</v>
      </c>
      <c r="B19" s="299" t="s">
        <v>130</v>
      </c>
      <c r="C19" s="315">
        <f>'T-4'!P12*'T-11'!F38*12</f>
        <v>508776.09054999979</v>
      </c>
      <c r="D19" s="315">
        <f>'T-4'!P30*'T-11'!F38*12</f>
        <v>508549.72175999987</v>
      </c>
      <c r="E19" s="301">
        <f>AVERAGE(C19:D19)</f>
        <v>508662.90615499986</v>
      </c>
      <c r="F19" s="301">
        <f>'T-4'!P12*'T-11'!G38*12</f>
        <v>546942.59440730582</v>
      </c>
      <c r="G19" s="301">
        <f>'T-4'!P30*'T-11'!G38*12</f>
        <v>546699.24426645786</v>
      </c>
      <c r="H19" s="301">
        <f>AVERAGE(F19:G19)</f>
        <v>546820.91933688184</v>
      </c>
      <c r="I19" s="302">
        <f t="shared" si="2"/>
        <v>7.5016307893020384E-2</v>
      </c>
      <c r="K19" s="297"/>
      <c r="L19" s="297"/>
      <c r="M19" s="316"/>
    </row>
    <row r="20" spans="1:22">
      <c r="A20" s="294">
        <f t="shared" si="3"/>
        <v>13</v>
      </c>
      <c r="B20" s="308" t="s">
        <v>347</v>
      </c>
      <c r="C20" s="315">
        <f>SUM('T-4'!P13:P14)*'T-11'!F65*12</f>
        <v>105975.63597105024</v>
      </c>
      <c r="D20" s="315">
        <f>SUM('T-4'!P31:P32)*'T-11'!F65*12</f>
        <v>105928.72</v>
      </c>
      <c r="E20" s="301">
        <f t="shared" ref="E20:E22" si="5">AVERAGE(C20:D20)</f>
        <v>105952.17798552512</v>
      </c>
      <c r="F20" s="301">
        <f>('T-4'!P13+'T-4'!P14)*'T-11'!G65*12</f>
        <v>105641.32797114155</v>
      </c>
      <c r="G20" s="301">
        <f>('T-4'!P31+'T-4'!P32)*'T-11'!G65*12</f>
        <v>105594.56</v>
      </c>
      <c r="H20" s="301">
        <f>AVERAGE(F20:G20)</f>
        <v>105617.94398557078</v>
      </c>
      <c r="I20" s="302">
        <f t="shared" si="2"/>
        <v>-3.154574132492205E-3</v>
      </c>
      <c r="K20" s="297"/>
      <c r="L20" s="297"/>
      <c r="M20" s="310"/>
    </row>
    <row r="21" spans="1:22">
      <c r="A21" s="294">
        <f t="shared" si="3"/>
        <v>14</v>
      </c>
      <c r="B21" s="299" t="s">
        <v>131</v>
      </c>
      <c r="C21" s="315">
        <f>'T-5'!P8*'T-11'!F39+'T-5'!P9*'T-11'!F40+'T-5'!P10*'T-11'!F41/1000</f>
        <v>27343.83064</v>
      </c>
      <c r="D21" s="315">
        <f>'T-5'!P16*'T-11'!F39+'T-5'!P17*'T-11'!F40+'T-5'!P18*'T-11'!F41/1000</f>
        <v>27108.329520000003</v>
      </c>
      <c r="E21" s="317">
        <f t="shared" si="5"/>
        <v>27226.08008</v>
      </c>
      <c r="F21" s="317">
        <f>SUM('T-5'!P8*'T-11'!G39,'T-5'!P9*'T-11'!G40,'T-5'!P10*'T-11'!G41/1000)</f>
        <v>29527.510960000003</v>
      </c>
      <c r="G21" s="317">
        <f>SUM('T-5'!P16*'T-11'!G39,'T-5'!P17*'T-11'!G40,'T-5'!P18*'T-11'!G41/1000)</f>
        <v>29273.209280000003</v>
      </c>
      <c r="H21" s="317">
        <f>AVERAGE(F21:G21)</f>
        <v>29400.360120000005</v>
      </c>
      <c r="I21" s="302">
        <f t="shared" si="2"/>
        <v>7.9860194108413385E-2</v>
      </c>
      <c r="K21" s="297"/>
      <c r="L21" s="297"/>
      <c r="M21" s="297"/>
    </row>
    <row r="22" spans="1:22">
      <c r="A22" s="294">
        <f t="shared" si="3"/>
        <v>15</v>
      </c>
      <c r="B22" s="308" t="s">
        <v>348</v>
      </c>
      <c r="C22" s="315">
        <f>'T-5'!P8*'T-11'!F66+'T-5'!P9*'T-11'!F67+'T-5'!P10*'T-11'!F68/1000</f>
        <v>5615.9666399999996</v>
      </c>
      <c r="D22" s="315">
        <f>'T-5'!P16*'T-11'!F66+'T-5'!P17*'T-11'!F67+'T-5'!P18*'T-11'!F68/1000</f>
        <v>5567.6025200000004</v>
      </c>
      <c r="E22" s="312">
        <f t="shared" si="5"/>
        <v>5591.7845799999996</v>
      </c>
      <c r="F22" s="317">
        <f>SUM('T-5'!P8*'T-11'!G66,'T-5'!P9*'T-11'!G67,'T-5'!P10*'T-11'!G68/1000)</f>
        <v>5615.9666399999996</v>
      </c>
      <c r="G22" s="317">
        <f>SUM('T-5'!P16*'T-11'!G66,'T-5'!P17*'T-11'!G67,'T-5'!P18*'T-11'!G68/1000)</f>
        <v>5567.6025200000004</v>
      </c>
      <c r="H22" s="312">
        <f>AVERAGE(F22:G22)</f>
        <v>5591.7845799999996</v>
      </c>
      <c r="I22" s="302">
        <f t="shared" si="2"/>
        <v>0</v>
      </c>
      <c r="K22" s="305"/>
      <c r="L22" s="306"/>
      <c r="M22" s="305"/>
    </row>
    <row r="23" spans="1:22">
      <c r="A23" s="294">
        <f t="shared" si="3"/>
        <v>16</v>
      </c>
      <c r="B23" s="308" t="s">
        <v>171</v>
      </c>
      <c r="C23" s="318">
        <f>SUM(C19:C22)</f>
        <v>647711.52380105015</v>
      </c>
      <c r="D23" s="318">
        <f>SUM(D19:D22)</f>
        <v>647154.37379999983</v>
      </c>
      <c r="E23" s="318">
        <f t="shared" ref="E23:H23" si="6">SUM(E19:E22)</f>
        <v>647432.94880052493</v>
      </c>
      <c r="F23" s="318">
        <f t="shared" si="6"/>
        <v>687727.39997844736</v>
      </c>
      <c r="G23" s="318">
        <f t="shared" si="6"/>
        <v>687134.61606645782</v>
      </c>
      <c r="H23" s="318">
        <f t="shared" si="6"/>
        <v>687431.00802245259</v>
      </c>
      <c r="I23" s="296">
        <f t="shared" si="2"/>
        <v>6.1779461944330372E-2</v>
      </c>
      <c r="K23" s="297"/>
      <c r="L23" s="319"/>
      <c r="M23" s="320"/>
      <c r="N23" s="321"/>
    </row>
    <row r="24" spans="1:22">
      <c r="A24" s="294">
        <f t="shared" si="3"/>
        <v>17</v>
      </c>
      <c r="B24" s="308" t="s">
        <v>154</v>
      </c>
      <c r="C24" s="301">
        <f>SUM(C14,C16,C19,C21)</f>
        <v>679259.79645588086</v>
      </c>
      <c r="D24" s="301">
        <f>SUM(D14,D16,D19,D21)</f>
        <v>681277.73201588099</v>
      </c>
      <c r="E24" s="301">
        <f t="shared" ref="E24:H24" si="7">SUM(E14,E16,E19,E21)</f>
        <v>680268.76423588092</v>
      </c>
      <c r="F24" s="301">
        <f t="shared" si="7"/>
        <v>740623.11441103707</v>
      </c>
      <c r="G24" s="301">
        <f t="shared" si="7"/>
        <v>742969.32758712303</v>
      </c>
      <c r="H24" s="301">
        <f t="shared" si="7"/>
        <v>741796.22099908011</v>
      </c>
      <c r="I24" s="302">
        <f t="shared" si="2"/>
        <v>9.0445806125334149E-2</v>
      </c>
      <c r="K24" s="297"/>
      <c r="L24" s="306"/>
      <c r="M24" s="305"/>
    </row>
    <row r="25" spans="1:22">
      <c r="A25" s="294">
        <f t="shared" si="3"/>
        <v>18</v>
      </c>
      <c r="B25" s="322" t="s">
        <v>141</v>
      </c>
      <c r="C25" s="301"/>
      <c r="D25" s="323"/>
      <c r="E25" s="323">
        <f>E24/E28</f>
        <v>0.82748225740425241</v>
      </c>
      <c r="F25" s="301"/>
      <c r="G25" s="323"/>
      <c r="H25" s="323">
        <f>H24/H28</f>
        <v>0.83792383922392033</v>
      </c>
      <c r="I25" s="302">
        <f>(H25/E25)-1</f>
        <v>1.261849631969425E-2</v>
      </c>
      <c r="K25" s="297" t="s">
        <v>9</v>
      </c>
      <c r="L25" s="297"/>
      <c r="M25" s="297"/>
    </row>
    <row r="26" spans="1:22">
      <c r="A26" s="294">
        <f t="shared" si="3"/>
        <v>19</v>
      </c>
      <c r="B26" s="308" t="s">
        <v>156</v>
      </c>
      <c r="C26" s="317">
        <f>SUM(C9+C10-C14,C17,C20,C22)</f>
        <v>141618.01720397209</v>
      </c>
      <c r="D26" s="317">
        <f>SUM(D9+D10-D14,D17,D20,D22)</f>
        <v>142033.8206795791</v>
      </c>
      <c r="E26" s="301">
        <f>AVERAGE(C26:D26)</f>
        <v>141825.9189417756</v>
      </c>
      <c r="F26" s="317">
        <f>SUM(F9+F10-F14,F17,F20,F22)</f>
        <v>143257.81259268013</v>
      </c>
      <c r="G26" s="317">
        <f>SUM(G9+G10-G14,G17,G20,G22)</f>
        <v>143707.36956298974</v>
      </c>
      <c r="H26" s="317">
        <f>AVERAGE(F26:G26)</f>
        <v>143482.59107783495</v>
      </c>
      <c r="I26" s="302">
        <f>IF(E26=0,0,(H26/E26)-1)</f>
        <v>1.1681025220358077E-2</v>
      </c>
      <c r="K26" s="305"/>
      <c r="L26" s="306"/>
      <c r="M26" s="310"/>
    </row>
    <row r="27" spans="1:22">
      <c r="A27" s="294">
        <f t="shared" si="3"/>
        <v>20</v>
      </c>
      <c r="B27" s="322" t="s">
        <v>141</v>
      </c>
      <c r="C27" s="324"/>
      <c r="D27" s="325"/>
      <c r="E27" s="325">
        <f>E26/E28</f>
        <v>0.17251774259574756</v>
      </c>
      <c r="F27" s="324"/>
      <c r="G27" s="325"/>
      <c r="H27" s="325">
        <f>H26/H28</f>
        <v>0.16207616077607973</v>
      </c>
      <c r="I27" s="302"/>
      <c r="K27" s="305"/>
      <c r="L27" s="306"/>
      <c r="M27" s="310"/>
    </row>
    <row r="28" spans="1:22">
      <c r="A28" s="294">
        <f t="shared" si="3"/>
        <v>21</v>
      </c>
      <c r="B28" s="326" t="s">
        <v>155</v>
      </c>
      <c r="C28" s="314">
        <f t="shared" ref="C28:E28" si="8">C24+C26</f>
        <v>820877.81365985295</v>
      </c>
      <c r="D28" s="314">
        <f t="shared" si="8"/>
        <v>823311.55269546015</v>
      </c>
      <c r="E28" s="314">
        <f t="shared" si="8"/>
        <v>822094.68317765649</v>
      </c>
      <c r="F28" s="314">
        <f>F24+F26</f>
        <v>883880.92700371717</v>
      </c>
      <c r="G28" s="314">
        <f>G24+G26</f>
        <v>886676.69715011283</v>
      </c>
      <c r="H28" s="314">
        <f>H24+H26</f>
        <v>885278.81207691506</v>
      </c>
      <c r="I28" s="296">
        <f>IF(E28=0,0,(H28/E28)-1)</f>
        <v>7.6857483927559089E-2</v>
      </c>
      <c r="J28" s="327"/>
      <c r="K28" s="328"/>
      <c r="L28" s="329"/>
      <c r="M28" s="310"/>
      <c r="N28" s="330"/>
      <c r="O28" s="330"/>
      <c r="P28" s="330"/>
      <c r="Q28" s="330"/>
      <c r="R28" s="330"/>
      <c r="S28" s="330"/>
      <c r="T28" s="330"/>
      <c r="U28" s="330"/>
      <c r="V28" s="330"/>
    </row>
    <row r="29" spans="1:22" ht="20.25" customHeight="1">
      <c r="A29" s="294">
        <f t="shared" si="3"/>
        <v>22</v>
      </c>
      <c r="B29" s="290" t="s">
        <v>158</v>
      </c>
      <c r="C29" s="286"/>
      <c r="D29" s="286"/>
      <c r="E29" s="314"/>
      <c r="F29" s="286"/>
      <c r="G29" s="286"/>
      <c r="H29" s="314"/>
      <c r="I29" s="296"/>
      <c r="K29" s="305"/>
      <c r="L29" s="331"/>
      <c r="M29" s="332"/>
    </row>
    <row r="30" spans="1:22">
      <c r="A30" s="294">
        <f t="shared" si="3"/>
        <v>23</v>
      </c>
      <c r="B30" s="299" t="s">
        <v>161</v>
      </c>
      <c r="C30" s="301">
        <f>'T-4'!P71*'T-11'!F48*12</f>
        <v>178.11199999999999</v>
      </c>
      <c r="D30" s="301">
        <f>'T-4'!P73*'T-11'!F48*12</f>
        <v>340.03199999999998</v>
      </c>
      <c r="E30" s="301">
        <f t="shared" ref="E30:E34" si="9">AVERAGE(C30:D30)</f>
        <v>259.072</v>
      </c>
      <c r="F30" s="301">
        <f>'T-4'!P71*'T-11'!G48*12</f>
        <v>184.44800000000001</v>
      </c>
      <c r="G30" s="301">
        <f>'T-4'!P73*'T-11'!G48*12</f>
        <v>352.12800000000004</v>
      </c>
      <c r="H30" s="301">
        <f t="shared" ref="H30:H36" si="10">AVERAGE(F30:G30)</f>
        <v>268.28800000000001</v>
      </c>
      <c r="I30" s="302">
        <f t="shared" ref="I30:I40" si="11">IF(E30=0,0,(H30/E30)-1)</f>
        <v>3.5573122529644285E-2</v>
      </c>
      <c r="K30" s="305"/>
      <c r="L30" s="306"/>
      <c r="M30" s="310"/>
    </row>
    <row r="31" spans="1:22">
      <c r="A31" s="294">
        <f t="shared" si="3"/>
        <v>24</v>
      </c>
      <c r="B31" s="299" t="s">
        <v>159</v>
      </c>
      <c r="C31" s="301">
        <f>'T-4'!P62*'T-11'!F43*12</f>
        <v>78373.200000000012</v>
      </c>
      <c r="D31" s="301">
        <f>'T-4'!P66*'T-11'!F43*12</f>
        <v>78373.200000000012</v>
      </c>
      <c r="E31" s="301">
        <f t="shared" si="9"/>
        <v>78373.200000000012</v>
      </c>
      <c r="F31" s="301">
        <f>'T-4'!P62*'T-11'!G43*12</f>
        <v>80831.400000000009</v>
      </c>
      <c r="G31" s="301">
        <f>'T-4'!P66*'T-11'!G43*12</f>
        <v>80831.400000000009</v>
      </c>
      <c r="H31" s="301">
        <f t="shared" si="10"/>
        <v>80831.400000000009</v>
      </c>
      <c r="I31" s="302">
        <f t="shared" si="11"/>
        <v>3.136531365313644E-2</v>
      </c>
      <c r="K31" s="305"/>
      <c r="L31" s="306"/>
      <c r="M31" s="310"/>
    </row>
    <row r="32" spans="1:22">
      <c r="A32" s="294">
        <f t="shared" si="3"/>
        <v>25</v>
      </c>
      <c r="B32" s="308" t="s">
        <v>162</v>
      </c>
      <c r="C32" s="301">
        <f>'T-4'!P62*'T-11'!F65*12</f>
        <v>22919.1</v>
      </c>
      <c r="D32" s="301">
        <f>+'T-4'!P66*'T-11'!F65*12</f>
        <v>22919.1</v>
      </c>
      <c r="E32" s="301">
        <f t="shared" si="9"/>
        <v>22919.1</v>
      </c>
      <c r="F32" s="333">
        <f>'T-4'!P62*'T-11'!G65*12</f>
        <v>22846.800000000003</v>
      </c>
      <c r="G32" s="301">
        <f>'T-4'!P66*'T-11'!G65*12</f>
        <v>22846.800000000003</v>
      </c>
      <c r="H32" s="301">
        <f t="shared" si="10"/>
        <v>22846.800000000003</v>
      </c>
      <c r="I32" s="302">
        <f t="shared" si="11"/>
        <v>-3.1545741324918719E-3</v>
      </c>
      <c r="K32" s="305"/>
      <c r="L32" s="306"/>
      <c r="M32" s="310"/>
    </row>
    <row r="33" spans="1:28">
      <c r="A33" s="294">
        <f t="shared" si="3"/>
        <v>26</v>
      </c>
      <c r="B33" s="299" t="s">
        <v>160</v>
      </c>
      <c r="C33" s="301">
        <f>'T-5'!P30*'T-11'!F44+'T-5'!P31*'T-11'!F45+'T-5'!P32*'T-11'!F46/1000</f>
        <v>3962.8005599999997</v>
      </c>
      <c r="D33" s="301">
        <f>'T-5'!P38*'T-11'!F44+'T-5'!P39*'T-11'!F45+'T-5'!P40*'T-11'!F46/1000</f>
        <v>4040.16552</v>
      </c>
      <c r="E33" s="301">
        <f t="shared" si="9"/>
        <v>4001.4830400000001</v>
      </c>
      <c r="F33" s="317">
        <f>SUM('T-5'!P30*'T-11'!G44,'T-5'!P31*'T-11'!G45,'T-5'!P32*'T-11'!G46/1000)</f>
        <v>4085.6318799999999</v>
      </c>
      <c r="G33" s="317">
        <f>SUM('T-5'!P38*'T-11'!G44,'T-5'!P39*'T-11'!G45,'T-5'!P40*'T-11'!G46/1000)</f>
        <v>4165.3999599999997</v>
      </c>
      <c r="H33" s="301">
        <f t="shared" si="10"/>
        <v>4125.5159199999998</v>
      </c>
      <c r="I33" s="302">
        <f t="shared" si="11"/>
        <v>3.0996727653255229E-2</v>
      </c>
      <c r="K33" s="305"/>
      <c r="L33" s="306"/>
      <c r="M33" s="310"/>
    </row>
    <row r="34" spans="1:28">
      <c r="A34" s="294">
        <f t="shared" si="3"/>
        <v>27</v>
      </c>
      <c r="B34" s="308" t="s">
        <v>163</v>
      </c>
      <c r="C34" s="301">
        <f>'T-5'!P30*'T-11'!F66+'T-5'!P31*'T-11'!F67+'T-5'!P32*'T-11'!F68/1000</f>
        <v>370.22451999999998</v>
      </c>
      <c r="D34" s="301">
        <f>'T-5'!P38*'T-11'!F66+'T-5'!P39*'T-11'!F67+'T-5'!P40*'T-11'!F68/1000</f>
        <v>377.27884</v>
      </c>
      <c r="E34" s="301">
        <f t="shared" si="9"/>
        <v>373.75167999999996</v>
      </c>
      <c r="F34" s="317">
        <f>SUM('T-5'!P30*'T-11'!G66,'T-5'!P31*'T-11'!G67,'T-5'!P32*'T-11'!G68/1000)</f>
        <v>370.22451999999998</v>
      </c>
      <c r="G34" s="317">
        <f>SUM('T-5'!P38*'T-11'!G66,'T-5'!P39*'T-11'!G67,'T-5'!P40*'T-11'!G68/1000)</f>
        <v>377.27884</v>
      </c>
      <c r="H34" s="301">
        <f t="shared" si="10"/>
        <v>373.75167999999996</v>
      </c>
      <c r="I34" s="302">
        <f t="shared" si="11"/>
        <v>0</v>
      </c>
      <c r="K34" s="305"/>
      <c r="L34" s="319"/>
      <c r="M34" s="320"/>
    </row>
    <row r="35" spans="1:28">
      <c r="A35" s="294">
        <f t="shared" si="3"/>
        <v>28</v>
      </c>
      <c r="B35" s="308" t="s">
        <v>172</v>
      </c>
      <c r="C35" s="318">
        <f t="shared" ref="C35:H35" si="12">SUM(C31:C34)</f>
        <v>105625.32508000002</v>
      </c>
      <c r="D35" s="318">
        <f t="shared" si="12"/>
        <v>105709.74436000001</v>
      </c>
      <c r="E35" s="318">
        <f t="shared" si="12"/>
        <v>105667.53472000003</v>
      </c>
      <c r="F35" s="318">
        <f t="shared" si="12"/>
        <v>108134.05640000002</v>
      </c>
      <c r="G35" s="318">
        <f t="shared" si="12"/>
        <v>108220.87880000001</v>
      </c>
      <c r="H35" s="318">
        <f t="shared" si="12"/>
        <v>108177.46760000002</v>
      </c>
      <c r="I35" s="296">
        <f t="shared" si="11"/>
        <v>2.3753112880421368E-2</v>
      </c>
      <c r="K35" s="305"/>
      <c r="L35" s="319"/>
      <c r="M35" s="320"/>
    </row>
    <row r="36" spans="1:28">
      <c r="A36" s="294">
        <f t="shared" si="3"/>
        <v>29</v>
      </c>
      <c r="B36" s="308" t="s">
        <v>173</v>
      </c>
      <c r="C36" s="301">
        <f>SUM(C30,C31,C33)</f>
        <v>82514.112560000009</v>
      </c>
      <c r="D36" s="301">
        <f>SUM(D30,D31,D33)</f>
        <v>82753.397520000013</v>
      </c>
      <c r="E36" s="301">
        <f>SUM(E30,E31,E33)</f>
        <v>82633.755040000018</v>
      </c>
      <c r="F36" s="301">
        <f>SUM(F30,F31,F33)</f>
        <v>85101.479880000014</v>
      </c>
      <c r="G36" s="301">
        <f>SUM(G30,G31,G33)</f>
        <v>85348.927960000001</v>
      </c>
      <c r="H36" s="301">
        <f t="shared" si="10"/>
        <v>85225.20392</v>
      </c>
      <c r="I36" s="302">
        <f t="shared" si="11"/>
        <v>3.1360657382029311E-2</v>
      </c>
      <c r="K36" s="305"/>
      <c r="L36" s="319"/>
      <c r="M36" s="320"/>
    </row>
    <row r="37" spans="1:28">
      <c r="A37" s="294">
        <f t="shared" si="3"/>
        <v>30</v>
      </c>
      <c r="B37" s="308" t="s">
        <v>174</v>
      </c>
      <c r="C37" s="312">
        <f t="shared" ref="C37:H37" si="13">SUM(C32,C34)</f>
        <v>23289.324519999998</v>
      </c>
      <c r="D37" s="312">
        <f t="shared" si="13"/>
        <v>23296.378839999998</v>
      </c>
      <c r="E37" s="312">
        <f t="shared" si="13"/>
        <v>23292.85168</v>
      </c>
      <c r="F37" s="312">
        <f t="shared" si="13"/>
        <v>23217.024520000003</v>
      </c>
      <c r="G37" s="312">
        <f t="shared" si="13"/>
        <v>23224.078840000002</v>
      </c>
      <c r="H37" s="312">
        <f t="shared" si="13"/>
        <v>23220.551680000004</v>
      </c>
      <c r="I37" s="302">
        <f t="shared" si="11"/>
        <v>-3.1039565697348337E-3</v>
      </c>
      <c r="J37" s="820"/>
      <c r="K37" s="297"/>
      <c r="L37" s="298"/>
      <c r="M37" s="821"/>
      <c r="N37" s="297"/>
      <c r="O37" s="820"/>
    </row>
    <row r="38" spans="1:28">
      <c r="A38" s="294">
        <f t="shared" si="3"/>
        <v>31</v>
      </c>
      <c r="B38" s="326" t="s">
        <v>164</v>
      </c>
      <c r="C38" s="314">
        <f t="shared" ref="C38:H38" si="14">C36+C37</f>
        <v>105803.43708</v>
      </c>
      <c r="D38" s="314">
        <f t="shared" si="14"/>
        <v>106049.77636000002</v>
      </c>
      <c r="E38" s="314">
        <f t="shared" si="14"/>
        <v>105926.60672000001</v>
      </c>
      <c r="F38" s="314">
        <f t="shared" si="14"/>
        <v>108318.50440000002</v>
      </c>
      <c r="G38" s="314">
        <f t="shared" si="14"/>
        <v>108573.0068</v>
      </c>
      <c r="H38" s="314">
        <f t="shared" si="14"/>
        <v>108445.7556</v>
      </c>
      <c r="I38" s="296">
        <f t="shared" si="11"/>
        <v>2.378202189237455E-2</v>
      </c>
      <c r="J38" s="820"/>
      <c r="K38" s="297"/>
      <c r="L38" s="822"/>
      <c r="M38" s="821"/>
      <c r="N38" s="297"/>
      <c r="O38" s="820"/>
    </row>
    <row r="39" spans="1:28" ht="19.5" customHeight="1">
      <c r="A39" s="294">
        <f t="shared" si="3"/>
        <v>32</v>
      </c>
      <c r="B39" s="334" t="s">
        <v>165</v>
      </c>
      <c r="C39" s="286"/>
      <c r="D39" s="286"/>
      <c r="E39" s="314"/>
      <c r="F39" s="286"/>
      <c r="G39" s="286"/>
      <c r="H39" s="314"/>
      <c r="I39" s="302"/>
      <c r="J39" s="820"/>
      <c r="K39" s="297"/>
      <c r="L39" s="822"/>
      <c r="M39" s="821"/>
      <c r="N39" s="297"/>
      <c r="O39" s="820"/>
    </row>
    <row r="40" spans="1:28">
      <c r="A40" s="294">
        <f t="shared" si="3"/>
        <v>33</v>
      </c>
      <c r="B40" s="299" t="s">
        <v>166</v>
      </c>
      <c r="C40" s="301">
        <f t="shared" ref="C40:H40" si="15">SUM(C20,C32)</f>
        <v>128894.73597105025</v>
      </c>
      <c r="D40" s="301">
        <f t="shared" si="15"/>
        <v>128847.82</v>
      </c>
      <c r="E40" s="301">
        <f>AVERAGE(C40:D40)</f>
        <v>128871.27798552513</v>
      </c>
      <c r="F40" s="301">
        <f t="shared" si="15"/>
        <v>128488.12797114156</v>
      </c>
      <c r="G40" s="301">
        <f t="shared" si="15"/>
        <v>128441.36</v>
      </c>
      <c r="H40" s="301">
        <f t="shared" si="15"/>
        <v>128464.74398557078</v>
      </c>
      <c r="I40" s="302">
        <f t="shared" si="11"/>
        <v>-3.154574132492205E-3</v>
      </c>
      <c r="J40" s="820"/>
      <c r="K40" s="297"/>
      <c r="L40" s="822"/>
      <c r="M40" s="821"/>
      <c r="N40" s="297"/>
      <c r="O40" s="832"/>
    </row>
    <row r="41" spans="1:28">
      <c r="A41" s="294">
        <f t="shared" si="3"/>
        <v>34</v>
      </c>
      <c r="B41" s="299" t="s">
        <v>167</v>
      </c>
      <c r="C41" s="301">
        <f>SUM(C22,C34)</f>
        <v>5986.1911599999994</v>
      </c>
      <c r="D41" s="301">
        <f>SUM(D22,D34)</f>
        <v>5944.8813600000003</v>
      </c>
      <c r="E41" s="317">
        <f>AVERAGE(C41:D41)</f>
        <v>5965.5362599999999</v>
      </c>
      <c r="F41" s="301">
        <f>SUM(F22,F34)</f>
        <v>5986.1911599999994</v>
      </c>
      <c r="G41" s="301">
        <f>SUM(G22,G34)</f>
        <v>5944.8813600000003</v>
      </c>
      <c r="H41" s="317">
        <f>AVERAGE(F41:G41)</f>
        <v>5965.5362599999999</v>
      </c>
      <c r="I41" s="302">
        <f t="shared" ref="I41:I53" si="16">IF(E41=0,0,(H41/E41)-1)</f>
        <v>0</v>
      </c>
      <c r="J41" s="820"/>
      <c r="K41" s="297"/>
      <c r="L41" s="822"/>
      <c r="M41" s="821"/>
      <c r="N41" s="297"/>
      <c r="O41" s="820"/>
      <c r="P41" s="287"/>
      <c r="Q41" s="287"/>
      <c r="R41" s="287"/>
      <c r="S41" s="287"/>
    </row>
    <row r="42" spans="1:28">
      <c r="A42" s="294">
        <f t="shared" si="3"/>
        <v>35</v>
      </c>
      <c r="B42" s="299" t="s">
        <v>183</v>
      </c>
      <c r="C42" s="312">
        <f>C17</f>
        <v>30022.986818802936</v>
      </c>
      <c r="D42" s="312">
        <f>D17</f>
        <v>30534.070385460189</v>
      </c>
      <c r="E42" s="312">
        <f>AVERAGE(C42:D42)</f>
        <v>30278.528602131562</v>
      </c>
      <c r="F42" s="312">
        <f>F17</f>
        <v>31997.101020587237</v>
      </c>
      <c r="G42" s="312">
        <f>G17</f>
        <v>32541.790082038395</v>
      </c>
      <c r="H42" s="312">
        <f>AVERAGE(F42:G42)</f>
        <v>32269.445551312816</v>
      </c>
      <c r="I42" s="302">
        <f t="shared" si="16"/>
        <v>6.5753424657534199E-2</v>
      </c>
      <c r="J42" s="820"/>
      <c r="K42" s="297"/>
      <c r="L42" s="298"/>
      <c r="M42" s="297"/>
      <c r="N42" s="297"/>
      <c r="O42" s="820"/>
      <c r="P42" s="287"/>
      <c r="Q42" s="287"/>
      <c r="R42" s="287"/>
      <c r="S42" s="287"/>
    </row>
    <row r="43" spans="1:28" s="286" customFormat="1">
      <c r="A43" s="294">
        <f t="shared" si="3"/>
        <v>36</v>
      </c>
      <c r="B43" s="308" t="s">
        <v>275</v>
      </c>
      <c r="C43" s="314">
        <f>SUM(C40:C42)</f>
        <v>164903.91394985316</v>
      </c>
      <c r="D43" s="314">
        <f>SUM(D40:D42)</f>
        <v>165326.7717454602</v>
      </c>
      <c r="E43" s="314">
        <f>+AVERAGE(C43,D43)</f>
        <v>165115.34284765669</v>
      </c>
      <c r="F43" s="314">
        <f t="shared" ref="F43:G43" si="17">SUM(F40:F42)</f>
        <v>166471.42015172879</v>
      </c>
      <c r="G43" s="314">
        <f t="shared" si="17"/>
        <v>166928.03144203842</v>
      </c>
      <c r="H43" s="314">
        <f>SUM(H40:H42)</f>
        <v>166699.72579688361</v>
      </c>
      <c r="I43" s="296">
        <f t="shared" si="16"/>
        <v>9.5956131144563361E-3</v>
      </c>
      <c r="J43" s="820"/>
      <c r="K43" s="820"/>
      <c r="L43" s="820"/>
      <c r="M43" s="820"/>
      <c r="N43" s="820"/>
      <c r="O43" s="820"/>
      <c r="P43" s="287"/>
      <c r="Q43" s="287"/>
      <c r="R43" s="287"/>
      <c r="S43" s="287"/>
      <c r="T43" s="285"/>
      <c r="U43" s="285"/>
      <c r="V43" s="285"/>
      <c r="W43" s="285"/>
      <c r="X43" s="285"/>
      <c r="Y43" s="285"/>
      <c r="Z43" s="285"/>
      <c r="AA43" s="285"/>
      <c r="AB43" s="285"/>
    </row>
    <row r="44" spans="1:28">
      <c r="A44" s="294">
        <f t="shared" si="3"/>
        <v>37</v>
      </c>
      <c r="B44" s="299" t="s">
        <v>456</v>
      </c>
      <c r="C44" s="312">
        <f>SUM(C9*(1-$C$13),C10*(1-$C$13))</f>
        <v>3.427774118918919</v>
      </c>
      <c r="D44" s="312">
        <f>SUM(D9*(1-$C$13),D10*(1-$C$13))</f>
        <v>3.427774118918919</v>
      </c>
      <c r="E44" s="312">
        <f>AVERAGE(C44:D44)</f>
        <v>3.427774118918919</v>
      </c>
      <c r="F44" s="312">
        <f>SUM(F9*(1-$C$12),F10*(1-$C$13))</f>
        <v>3.4169609513513515</v>
      </c>
      <c r="G44" s="312">
        <f>SUM(G9*(1-$C$12),G10*(1-$C$12))</f>
        <v>3.4169609513513515</v>
      </c>
      <c r="H44" s="312">
        <f>AVERAGE(F44:G44)</f>
        <v>3.4169609513513515</v>
      </c>
      <c r="I44" s="302">
        <f t="shared" si="16"/>
        <v>-3.154574132492094E-3</v>
      </c>
      <c r="J44" s="297"/>
      <c r="K44" s="297"/>
      <c r="L44" s="298"/>
      <c r="M44" s="297"/>
      <c r="N44" s="297"/>
      <c r="O44" s="820"/>
      <c r="P44" s="287"/>
      <c r="Q44" s="287"/>
      <c r="R44" s="287"/>
      <c r="S44" s="287"/>
    </row>
    <row r="45" spans="1:28">
      <c r="A45" s="294">
        <f t="shared" si="3"/>
        <v>38</v>
      </c>
      <c r="B45" s="308" t="s">
        <v>274</v>
      </c>
      <c r="C45" s="314">
        <f>SUM(C43:C44)</f>
        <v>164907.34172397209</v>
      </c>
      <c r="D45" s="314">
        <f>SUM(D43:D44)</f>
        <v>165330.19951957912</v>
      </c>
      <c r="E45" s="314">
        <f t="shared" ref="E45:H45" si="18">SUM(E43:E44)</f>
        <v>165118.77062177562</v>
      </c>
      <c r="F45" s="314">
        <f t="shared" si="18"/>
        <v>166474.83711268014</v>
      </c>
      <c r="G45" s="314">
        <f>SUM(G43:G44)</f>
        <v>166931.44840298977</v>
      </c>
      <c r="H45" s="314">
        <f t="shared" si="18"/>
        <v>166703.14275783495</v>
      </c>
      <c r="I45" s="296">
        <f t="shared" si="16"/>
        <v>9.5953484276389833E-3</v>
      </c>
      <c r="J45" s="370"/>
      <c r="K45" s="371"/>
      <c r="L45" s="371"/>
      <c r="M45" s="372"/>
      <c r="N45" s="372"/>
      <c r="O45" s="372"/>
      <c r="P45" s="335"/>
      <c r="Q45" s="287"/>
      <c r="R45" s="287"/>
      <c r="S45" s="287"/>
    </row>
    <row r="46" spans="1:28" ht="19.5" customHeight="1">
      <c r="A46" s="294">
        <f t="shared" si="3"/>
        <v>39</v>
      </c>
      <c r="B46" s="299" t="s">
        <v>662</v>
      </c>
      <c r="C46" s="891">
        <f>('T-10.4'!$E$34*'T-10.3'!$D$5*8760/1000)*$L$2</f>
        <v>25291.222851670023</v>
      </c>
      <c r="D46" s="891">
        <f>('T-10.4'!$E$34*'T-10.3'!$D$5*8760/1000)*$L$2</f>
        <v>25291.222851670023</v>
      </c>
      <c r="E46" s="891">
        <f>AVERAGE(C46:D46)</f>
        <v>25291.222851670023</v>
      </c>
      <c r="F46" s="891">
        <f>('T-10.4'!$E$34*'T-10.3'!$E$5*8760/1000)*$L$2</f>
        <v>24258.928041397776</v>
      </c>
      <c r="G46" s="891">
        <f>('T-10.4'!$E$34*'T-10.3'!$E$5*8760/1000)*L2</f>
        <v>24258.928041397776</v>
      </c>
      <c r="H46" s="891">
        <f>AVERAGE(F46:G46)</f>
        <v>24258.928041397776</v>
      </c>
      <c r="I46" s="892">
        <f t="shared" si="16"/>
        <v>-4.081632653061229E-2</v>
      </c>
      <c r="J46" s="368"/>
      <c r="K46" s="369"/>
      <c r="L46" s="369"/>
      <c r="M46" s="369"/>
      <c r="N46" s="369"/>
      <c r="O46" s="369"/>
    </row>
    <row r="47" spans="1:28" ht="18.75" customHeight="1">
      <c r="A47" s="294">
        <f t="shared" si="3"/>
        <v>40</v>
      </c>
      <c r="B47" s="326" t="s">
        <v>570</v>
      </c>
      <c r="C47" s="891">
        <f>SUM(C48:C49)</f>
        <v>38905.265879999999</v>
      </c>
      <c r="D47" s="891">
        <f>SUM(D48:D49)</f>
        <v>38905.265879999999</v>
      </c>
      <c r="E47" s="891">
        <f t="shared" ref="E47:E53" si="19">AVERAGE(C47:D47)</f>
        <v>38905.265879999999</v>
      </c>
      <c r="F47" s="891">
        <f>SUM(F48:F49)</f>
        <v>28840.431449526623</v>
      </c>
      <c r="G47" s="891">
        <f>SUM(G48:G49)</f>
        <v>28840.431449526623</v>
      </c>
      <c r="H47" s="891">
        <f t="shared" ref="H47" si="20">AVERAGE(F47:G47)</f>
        <v>28840.431449526623</v>
      </c>
      <c r="I47" s="892">
        <f t="shared" si="16"/>
        <v>-0.25870108333194552</v>
      </c>
      <c r="J47" s="370"/>
      <c r="K47" s="371"/>
      <c r="L47" s="371"/>
      <c r="M47" s="372"/>
      <c r="N47" s="372"/>
      <c r="O47" s="372"/>
    </row>
    <row r="48" spans="1:28" ht="16.2">
      <c r="A48" s="294">
        <f t="shared" si="3"/>
        <v>41</v>
      </c>
      <c r="B48" s="299" t="s">
        <v>660</v>
      </c>
      <c r="C48" s="891">
        <f>L2*(('T-10.3'!$D$15*'T-10.4'!$E$49*12)+('T-10.3'!$D$18+'T-10.4'!$E$55*12))</f>
        <v>38290.718399999998</v>
      </c>
      <c r="D48" s="891">
        <f>L2*(('T-10.3'!$D$15*'T-10.4'!$E$49*12)+('T-10.3'!$D$18+'T-10.4'!$E$55*12))</f>
        <v>38290.718399999998</v>
      </c>
      <c r="E48" s="891">
        <f t="shared" si="19"/>
        <v>38290.718399999998</v>
      </c>
      <c r="F48" s="891">
        <f>('T-10.4'!$E$49*'T-10.3'!$E$16*12+'T-10.4'!$E$55*'T-10.3'!$E$19*12)*L2</f>
        <v>27994.997320000006</v>
      </c>
      <c r="G48" s="891">
        <f>(('T-10.4'!$E$49*'T-10.3'!$E$16*12)+('T-10.4'!$E$55*'T-10.3'!$E$19*12))*L2</f>
        <v>27994.997320000006</v>
      </c>
      <c r="H48" s="891">
        <f t="shared" ref="H48:H53" si="21">AVERAGE(F48:G48)</f>
        <v>27994.997320000006</v>
      </c>
      <c r="I48" s="892">
        <f t="shared" si="16"/>
        <v>-0.26888294370575172</v>
      </c>
      <c r="J48" s="336"/>
      <c r="K48" s="337"/>
      <c r="L48" s="337"/>
      <c r="M48" s="337"/>
      <c r="N48" s="337"/>
      <c r="O48" s="337"/>
    </row>
    <row r="49" spans="1:19" ht="16.5" customHeight="1">
      <c r="A49" s="294">
        <f t="shared" si="3"/>
        <v>42</v>
      </c>
      <c r="B49" s="299" t="s">
        <v>661</v>
      </c>
      <c r="C49" s="317">
        <f>L2*('T-10.4'!$E$41*'T-10.3'!$D$12*12/1000+'T-10.4'!$E$43*'T-10.3'!$D$13*12/1000)</f>
        <v>614.54747999999995</v>
      </c>
      <c r="D49" s="317">
        <f>L2*('T-10.4'!$E$41*'T-10.3'!$D$12*12/1000+'T-10.4'!$E$43*'T-10.3'!$D$13*12/1000)</f>
        <v>614.54747999999995</v>
      </c>
      <c r="E49" s="317">
        <f t="shared" si="19"/>
        <v>614.54747999999995</v>
      </c>
      <c r="F49" s="317">
        <f>('T-10.4'!$E$41*'T-10.3'!$E$12*12/1000+'T-10.4'!$E$43*'T-10.3'!$E$13*12/1000)*L2</f>
        <v>845.43412952661618</v>
      </c>
      <c r="G49" s="317">
        <f>((('T-10.4'!$E$41*'T-10.3'!$E$12*12)/1000)+(('T-10.4'!$E$43*'T-10.3'!$E$13*12)/1000))*L2</f>
        <v>845.43412952661618</v>
      </c>
      <c r="H49" s="317">
        <f t="shared" si="21"/>
        <v>845.43412952661618</v>
      </c>
      <c r="I49" s="302">
        <f t="shared" si="16"/>
        <v>0.37570188966785167</v>
      </c>
      <c r="J49" s="823"/>
      <c r="K49" s="824"/>
      <c r="L49" s="825"/>
      <c r="M49" s="337"/>
      <c r="N49" s="337"/>
      <c r="O49" s="337"/>
      <c r="P49" s="335"/>
      <c r="Q49" s="287"/>
      <c r="R49" s="287"/>
      <c r="S49" s="287"/>
    </row>
    <row r="50" spans="1:19" ht="18" customHeight="1">
      <c r="A50" s="294">
        <f t="shared" si="3"/>
        <v>43</v>
      </c>
      <c r="B50" s="299" t="s">
        <v>149</v>
      </c>
      <c r="C50" s="317">
        <f>L2*('T-10.4'!$E$26*'T-10.3'!$D$7*8760/1000)</f>
        <v>19762.21369247853</v>
      </c>
      <c r="D50" s="317">
        <f>L2*('T-10.4'!$E$26*'T-10.3'!$D$7*8760/1000)</f>
        <v>19762.21369247853</v>
      </c>
      <c r="E50" s="317">
        <f t="shared" si="19"/>
        <v>19762.21369247853</v>
      </c>
      <c r="F50" s="317">
        <f>('T-10.4'!$E$26*'T-10.3'!$E$7*8760/1000)*L2</f>
        <v>22914.214197469864</v>
      </c>
      <c r="G50" s="317">
        <f>('T-10.4'!$E$26*'T-10.3'!$E$7*8760/1000)*L2</f>
        <v>22914.214197469864</v>
      </c>
      <c r="H50" s="317">
        <f t="shared" si="21"/>
        <v>22914.214197469864</v>
      </c>
      <c r="I50" s="302">
        <f t="shared" si="16"/>
        <v>0.15949632738719854</v>
      </c>
      <c r="J50" s="820"/>
      <c r="K50" s="297"/>
      <c r="L50" s="297"/>
      <c r="M50" s="826"/>
      <c r="N50" s="826"/>
      <c r="O50" s="826"/>
      <c r="P50" s="287"/>
      <c r="Q50" s="287"/>
      <c r="R50" s="287"/>
      <c r="S50" s="287"/>
    </row>
    <row r="51" spans="1:19">
      <c r="A51" s="294">
        <f t="shared" si="3"/>
        <v>44</v>
      </c>
      <c r="B51" s="299" t="s">
        <v>150</v>
      </c>
      <c r="C51" s="317">
        <f>L2*('T-10.4'!$E$27*'T-10.3'!$D$9*8760/1000)</f>
        <v>17253.055395742012</v>
      </c>
      <c r="D51" s="317">
        <f>L2*('T-10.4'!$E$27*'T-10.3'!$D$9*8760/1000)</f>
        <v>17253.055395742012</v>
      </c>
      <c r="E51" s="317">
        <f t="shared" si="19"/>
        <v>17253.055395742012</v>
      </c>
      <c r="F51" s="317">
        <f>('T-10.4'!$E$27*'T-10.3'!$E$9*8760/1000)*L2</f>
        <v>14972.002398708813</v>
      </c>
      <c r="G51" s="317">
        <f>('T-10.4'!$E$27*'T-10.3'!$E$9*8760/1000)*L2</f>
        <v>14972.002398708813</v>
      </c>
      <c r="H51" s="317">
        <f t="shared" si="21"/>
        <v>14972.002398708813</v>
      </c>
      <c r="I51" s="302">
        <f t="shared" si="16"/>
        <v>-0.13221153846153844</v>
      </c>
      <c r="J51" s="820"/>
      <c r="K51" s="309"/>
      <c r="L51" s="297"/>
      <c r="M51" s="826"/>
      <c r="N51" s="826"/>
      <c r="O51" s="826"/>
      <c r="P51" s="287"/>
      <c r="Q51" s="287"/>
      <c r="R51" s="287"/>
      <c r="S51" s="287"/>
    </row>
    <row r="52" spans="1:19" ht="18" customHeight="1">
      <c r="A52" s="294">
        <f t="shared" si="3"/>
        <v>45</v>
      </c>
      <c r="B52" s="299" t="s">
        <v>46</v>
      </c>
      <c r="C52" s="317">
        <v>0</v>
      </c>
      <c r="D52" s="317">
        <v>0</v>
      </c>
      <c r="E52" s="317">
        <f t="shared" si="19"/>
        <v>0</v>
      </c>
      <c r="F52" s="317">
        <v>0</v>
      </c>
      <c r="G52" s="317">
        <v>0</v>
      </c>
      <c r="H52" s="317">
        <f t="shared" si="21"/>
        <v>0</v>
      </c>
      <c r="I52" s="302">
        <f>IF(E52=0,0,(H52/E52)-1)</f>
        <v>0</v>
      </c>
      <c r="J52" s="820"/>
      <c r="K52" s="344"/>
      <c r="L52" s="344"/>
      <c r="M52" s="297"/>
      <c r="N52" s="297"/>
      <c r="O52" s="820"/>
      <c r="P52" s="287"/>
      <c r="Q52" s="287"/>
      <c r="R52" s="287"/>
      <c r="S52" s="287"/>
    </row>
    <row r="53" spans="1:19" ht="16.2">
      <c r="A53" s="294">
        <f t="shared" si="3"/>
        <v>46</v>
      </c>
      <c r="B53" s="299" t="s">
        <v>178</v>
      </c>
      <c r="C53" s="317">
        <v>0</v>
      </c>
      <c r="D53" s="317">
        <v>0</v>
      </c>
      <c r="E53" s="317">
        <f t="shared" si="19"/>
        <v>0</v>
      </c>
      <c r="F53" s="317">
        <v>0</v>
      </c>
      <c r="G53" s="317">
        <v>0</v>
      </c>
      <c r="H53" s="317">
        <f t="shared" si="21"/>
        <v>0</v>
      </c>
      <c r="I53" s="302">
        <f t="shared" si="16"/>
        <v>0</v>
      </c>
      <c r="J53" s="827"/>
      <c r="K53" s="344"/>
      <c r="L53" s="344"/>
      <c r="M53" s="297"/>
      <c r="N53" s="297"/>
      <c r="O53" s="820"/>
      <c r="P53" s="287"/>
      <c r="Q53" s="287"/>
      <c r="R53" s="287"/>
      <c r="S53" s="287"/>
    </row>
    <row r="54" spans="1:19" ht="19.2">
      <c r="A54" s="294">
        <f t="shared" si="3"/>
        <v>47</v>
      </c>
      <c r="B54" s="299" t="s">
        <v>578</v>
      </c>
      <c r="C54" s="317">
        <v>0</v>
      </c>
      <c r="D54" s="317">
        <v>0</v>
      </c>
      <c r="E54" s="317">
        <v>0</v>
      </c>
      <c r="F54" s="355" t="s">
        <v>571</v>
      </c>
      <c r="G54" s="355" t="s">
        <v>571</v>
      </c>
      <c r="H54" s="355" t="s">
        <v>571</v>
      </c>
      <c r="I54" s="302">
        <f>IF(E54=0,0,(H54/E54)-1)</f>
        <v>0</v>
      </c>
      <c r="J54" s="827"/>
      <c r="K54" s="344"/>
      <c r="L54" s="344"/>
      <c r="M54" s="297"/>
      <c r="N54" s="297"/>
      <c r="O54" s="820"/>
      <c r="P54" s="287"/>
      <c r="Q54" s="287"/>
      <c r="R54" s="287"/>
      <c r="S54" s="287"/>
    </row>
    <row r="55" spans="1:19">
      <c r="A55" s="294">
        <f t="shared" si="3"/>
        <v>48</v>
      </c>
      <c r="B55" s="326" t="s">
        <v>179</v>
      </c>
      <c r="C55" s="891">
        <f t="shared" ref="C55:H55" si="22">SUM(C45,C46,C47,C50:C51,C52:C53)</f>
        <v>266119.09954386263</v>
      </c>
      <c r="D55" s="891">
        <f t="shared" si="22"/>
        <v>266541.95733946969</v>
      </c>
      <c r="E55" s="891">
        <f t="shared" si="22"/>
        <v>266330.52844166616</v>
      </c>
      <c r="F55" s="891">
        <f t="shared" si="22"/>
        <v>257460.41319978322</v>
      </c>
      <c r="G55" s="891">
        <f t="shared" si="22"/>
        <v>257917.02449009285</v>
      </c>
      <c r="H55" s="891">
        <f t="shared" si="22"/>
        <v>257688.71884493803</v>
      </c>
      <c r="I55" s="892">
        <f>IF(E55=0,0,(H55/E55)-1)</f>
        <v>-3.2447686892270511E-2</v>
      </c>
      <c r="J55" s="820"/>
      <c r="K55" s="342"/>
      <c r="L55" s="822"/>
      <c r="M55" s="297"/>
      <c r="N55" s="297"/>
      <c r="O55" s="820"/>
      <c r="P55" s="287"/>
      <c r="Q55" s="287"/>
      <c r="R55" s="287"/>
      <c r="S55" s="287"/>
    </row>
    <row r="56" spans="1:19">
      <c r="A56" s="294">
        <f t="shared" si="3"/>
        <v>49</v>
      </c>
      <c r="B56" s="308" t="s">
        <v>180</v>
      </c>
      <c r="C56" s="893">
        <f>C55-C45</f>
        <v>101211.75781989054</v>
      </c>
      <c r="D56" s="893">
        <f>D55-D45</f>
        <v>101211.75781989057</v>
      </c>
      <c r="E56" s="893">
        <f>E55-E45</f>
        <v>101211.75781989054</v>
      </c>
      <c r="F56" s="893">
        <f>F55-F45</f>
        <v>90985.57608710308</v>
      </c>
      <c r="G56" s="893">
        <f t="shared" ref="G56" si="23">G55-G45</f>
        <v>90985.57608710308</v>
      </c>
      <c r="H56" s="893">
        <f>H55-H45</f>
        <v>90985.57608710308</v>
      </c>
      <c r="I56" s="892">
        <f>IF(E56=0,0,(H56/E56)-1)</f>
        <v>-0.1010374876700123</v>
      </c>
      <c r="J56" s="820"/>
      <c r="K56" s="297"/>
      <c r="L56" s="298"/>
      <c r="M56" s="297"/>
      <c r="N56" s="297"/>
      <c r="O56" s="820"/>
      <c r="P56" s="287"/>
      <c r="Q56" s="287"/>
      <c r="R56" s="287"/>
      <c r="S56" s="287"/>
    </row>
    <row r="57" spans="1:19" ht="18" customHeight="1">
      <c r="A57" s="294">
        <f>A56+1</f>
        <v>50</v>
      </c>
      <c r="B57" s="334" t="s">
        <v>10</v>
      </c>
      <c r="C57" s="301"/>
      <c r="D57" s="301"/>
      <c r="E57" s="314"/>
      <c r="F57" s="286"/>
      <c r="G57" s="286"/>
      <c r="H57" s="314"/>
      <c r="I57" s="296"/>
      <c r="J57" s="820"/>
      <c r="K57" s="297"/>
      <c r="L57" s="298"/>
      <c r="M57" s="297"/>
      <c r="N57" s="297"/>
      <c r="O57" s="820"/>
      <c r="P57" s="287"/>
      <c r="Q57" s="287"/>
      <c r="R57" s="287"/>
      <c r="S57" s="287"/>
    </row>
    <row r="58" spans="1:19" ht="16.2" thickBot="1">
      <c r="A58" s="294">
        <f t="shared" si="3"/>
        <v>51</v>
      </c>
      <c r="B58" s="339" t="s">
        <v>74</v>
      </c>
      <c r="C58" s="340">
        <f>+'T-9'!F9*'T-11'!F57*12</f>
        <v>2417.8116600000008</v>
      </c>
      <c r="D58" s="340">
        <f>'T-9'!F10*'T-11'!F57*12</f>
        <v>2430.0455500000025</v>
      </c>
      <c r="E58" s="340">
        <f>AVERAGE(C58:D58)</f>
        <v>2423.9286050000019</v>
      </c>
      <c r="F58" s="340">
        <f>'T-9'!F9*'T-9'!G13*12</f>
        <v>3022.2645750000006</v>
      </c>
      <c r="G58" s="340">
        <f>'T-9'!F10*'T-9'!G13*12</f>
        <v>3037.5569375000027</v>
      </c>
      <c r="H58" s="340">
        <f>AVERAGE(F58:G58)</f>
        <v>3029.9107562500017</v>
      </c>
      <c r="I58" s="296">
        <f t="shared" ref="I58" si="24">IF(E58=0,0,(H58/E58)-1)</f>
        <v>0.24999999999999978</v>
      </c>
      <c r="J58" s="828"/>
      <c r="K58" s="309"/>
      <c r="L58" s="833"/>
      <c r="M58" s="297"/>
      <c r="N58" s="297"/>
      <c r="O58" s="820"/>
      <c r="P58" s="287"/>
      <c r="Q58" s="287"/>
      <c r="R58" s="287"/>
      <c r="S58" s="287"/>
    </row>
    <row r="59" spans="1:19" ht="16.2" thickTop="1">
      <c r="A59" s="294">
        <f t="shared" si="3"/>
        <v>52</v>
      </c>
      <c r="B59" s="334" t="s">
        <v>418</v>
      </c>
      <c r="C59" s="301"/>
      <c r="D59" s="301"/>
      <c r="E59" s="314"/>
      <c r="F59" s="286"/>
      <c r="G59" s="286"/>
      <c r="H59" s="314"/>
      <c r="I59" s="296"/>
      <c r="J59" s="820"/>
      <c r="K59" s="309"/>
      <c r="L59" s="342"/>
      <c r="M59" s="309"/>
      <c r="N59" s="297"/>
      <c r="O59" s="820"/>
      <c r="P59" s="287"/>
      <c r="Q59" s="287"/>
      <c r="R59" s="287"/>
      <c r="S59" s="287"/>
    </row>
    <row r="60" spans="1:19" ht="16.2" thickBot="1">
      <c r="A60" s="294">
        <f t="shared" si="3"/>
        <v>53</v>
      </c>
      <c r="B60" s="343" t="s">
        <v>420</v>
      </c>
      <c r="C60" s="340">
        <f>'T-10.2'!F9*'T-11'!F59/1000</f>
        <v>2638.3074561224498</v>
      </c>
      <c r="D60" s="340">
        <f>'T-10.2'!F10*'T-11'!F59/1000</f>
        <v>2685.8630281292521</v>
      </c>
      <c r="E60" s="340">
        <f>AVERAGE(C60:D60)</f>
        <v>2662.085242125851</v>
      </c>
      <c r="F60" s="340">
        <f>'T-10.2'!F9*'T-11'!G59/1000</f>
        <v>2110.6459648979594</v>
      </c>
      <c r="G60" s="340">
        <f>'T-10.2'!F10*'T-11'!G59/1000</f>
        <v>2148.6904225034014</v>
      </c>
      <c r="H60" s="340">
        <f>AVERAGE(F60:G60)</f>
        <v>2129.6681937006806</v>
      </c>
      <c r="I60" s="296">
        <f t="shared" ref="I60" si="25">IF(E60=0,0,(H60/E60)-1)</f>
        <v>-0.20000000000000007</v>
      </c>
      <c r="J60" s="820"/>
      <c r="K60" s="297"/>
      <c r="L60" s="344"/>
      <c r="M60" s="297"/>
      <c r="N60" s="297"/>
      <c r="O60" s="820"/>
      <c r="P60" s="287"/>
      <c r="Q60" s="287"/>
      <c r="R60" s="287"/>
      <c r="S60" s="287"/>
    </row>
    <row r="61" spans="1:19" ht="16.5" customHeight="1" thickTop="1">
      <c r="A61" s="294">
        <f t="shared" si="3"/>
        <v>54</v>
      </c>
      <c r="B61" s="334" t="s">
        <v>417</v>
      </c>
      <c r="C61" s="317"/>
      <c r="D61" s="317"/>
      <c r="E61" s="317"/>
      <c r="F61" s="317"/>
      <c r="G61" s="317"/>
      <c r="H61" s="317"/>
      <c r="I61" s="302"/>
      <c r="J61" s="820"/>
      <c r="K61" s="297"/>
      <c r="L61" s="298"/>
      <c r="M61" s="297"/>
      <c r="N61" s="297"/>
      <c r="O61" s="820"/>
    </row>
    <row r="62" spans="1:19" ht="16.2" thickBot="1">
      <c r="A62" s="294">
        <f t="shared" si="3"/>
        <v>55</v>
      </c>
      <c r="B62" s="343" t="s">
        <v>419</v>
      </c>
      <c r="C62" s="340">
        <f>'T-10.2'!F15*'T-11'!F61/1000</f>
        <v>2110.6459648979594</v>
      </c>
      <c r="D62" s="340">
        <f>'T-10.2'!F16*'T-11'!F61/1000</f>
        <v>2148.6904225034014</v>
      </c>
      <c r="E62" s="340">
        <f>AVERAGE(C62:D62)</f>
        <v>2129.6681937006806</v>
      </c>
      <c r="F62" s="340">
        <f>'T-10.2'!F15*'T-11'!G61/1000</f>
        <v>2110.6459648979594</v>
      </c>
      <c r="G62" s="340">
        <f>'T-10.2'!F16*'T-11'!G61/1000</f>
        <v>2148.6904225034014</v>
      </c>
      <c r="H62" s="340">
        <f>AVERAGE(F62:G62)</f>
        <v>2129.6681937006806</v>
      </c>
      <c r="I62" s="296">
        <f t="shared" ref="I62:I64" si="26">IF(E62=0,0,(H62/E62)-1)</f>
        <v>0</v>
      </c>
      <c r="J62" s="820"/>
      <c r="K62" s="297"/>
      <c r="L62" s="298"/>
      <c r="M62" s="297"/>
      <c r="N62" s="297"/>
      <c r="O62" s="820"/>
    </row>
    <row r="63" spans="1:19" ht="18" customHeight="1" thickTop="1">
      <c r="A63" s="294">
        <f t="shared" si="3"/>
        <v>56</v>
      </c>
      <c r="B63" s="351" t="str">
        <f>IF(L2=1,"General Transmission Rates Subtotal","General Transmission Rates Subtotal Less GI")</f>
        <v>General Transmission Rates Subtotal</v>
      </c>
      <c r="C63" s="893">
        <f t="shared" ref="C63:H63" si="27">SUM(C28,C38,C56,C58,C60,C62)</f>
        <v>1035059.7736407638</v>
      </c>
      <c r="D63" s="893">
        <f t="shared" si="27"/>
        <v>1037837.6858759833</v>
      </c>
      <c r="E63" s="893">
        <f t="shared" si="27"/>
        <v>1036448.7297583737</v>
      </c>
      <c r="F63" s="893">
        <f t="shared" si="27"/>
        <v>1090428.563995616</v>
      </c>
      <c r="G63" s="893">
        <f t="shared" si="27"/>
        <v>1093570.2178197228</v>
      </c>
      <c r="H63" s="893">
        <f t="shared" si="27"/>
        <v>1091999.3909076694</v>
      </c>
      <c r="I63" s="894">
        <f t="shared" si="26"/>
        <v>5.3597114410325108E-2</v>
      </c>
      <c r="J63" s="820"/>
      <c r="K63" s="297"/>
      <c r="L63" s="834"/>
      <c r="M63" s="297"/>
      <c r="N63" s="297"/>
      <c r="O63" s="820"/>
    </row>
    <row r="64" spans="1:19" ht="18" customHeight="1">
      <c r="A64" s="294">
        <f t="shared" si="3"/>
        <v>57</v>
      </c>
      <c r="B64" s="326" t="s">
        <v>185</v>
      </c>
      <c r="C64" s="314">
        <f t="shared" ref="C64:H64" si="28">C63-C56</f>
        <v>933848.01582087332</v>
      </c>
      <c r="D64" s="314">
        <f t="shared" si="28"/>
        <v>936625.9280560927</v>
      </c>
      <c r="E64" s="314">
        <f t="shared" si="28"/>
        <v>935236.97193848318</v>
      </c>
      <c r="F64" s="314">
        <f t="shared" si="28"/>
        <v>999442.98790851294</v>
      </c>
      <c r="G64" s="314">
        <f t="shared" si="28"/>
        <v>1002584.6417326197</v>
      </c>
      <c r="H64" s="314">
        <f t="shared" si="28"/>
        <v>1001013.8148205663</v>
      </c>
      <c r="I64" s="358">
        <f t="shared" si="26"/>
        <v>7.0331739287152306E-2</v>
      </c>
      <c r="J64" s="829"/>
      <c r="K64" s="297"/>
      <c r="L64" s="298"/>
      <c r="M64" s="297"/>
      <c r="N64" s="297"/>
      <c r="O64" s="820"/>
    </row>
    <row r="65" spans="1:15" ht="18" customHeight="1">
      <c r="A65" s="294">
        <f t="shared" si="3"/>
        <v>58</v>
      </c>
      <c r="B65" s="334" t="s">
        <v>177</v>
      </c>
      <c r="C65" s="301"/>
      <c r="D65" s="301"/>
      <c r="E65" s="314"/>
      <c r="F65" s="286"/>
      <c r="G65" s="301"/>
      <c r="H65" s="314"/>
      <c r="I65" s="296"/>
      <c r="J65" s="830"/>
      <c r="K65" s="835"/>
      <c r="L65" s="298"/>
      <c r="M65" s="297"/>
      <c r="N65" s="297"/>
      <c r="O65" s="820"/>
    </row>
    <row r="66" spans="1:15">
      <c r="A66" s="294">
        <f t="shared" si="3"/>
        <v>59</v>
      </c>
      <c r="B66" s="339" t="str">
        <f>'T-2'!B6</f>
        <v>SINT AC NON FEDERAL O&amp;M</v>
      </c>
      <c r="C66" s="301">
        <f>'T-2'!C6</f>
        <v>2209.8000000000002</v>
      </c>
      <c r="D66" s="301">
        <f>'T-2'!C6</f>
        <v>2209.8000000000002</v>
      </c>
      <c r="E66" s="301">
        <f t="shared" ref="E66:E84" si="29">AVERAGE(C66:D66)</f>
        <v>2209.8000000000002</v>
      </c>
      <c r="F66" s="301">
        <f>'T-2'!D6</f>
        <v>2209.8000000000002</v>
      </c>
      <c r="G66" s="301">
        <f>'T-2'!E6</f>
        <v>2209.8000000000002</v>
      </c>
      <c r="H66" s="301">
        <f t="shared" ref="H66:H89" si="30">AVERAGE(F66:G66)</f>
        <v>2209.8000000000002</v>
      </c>
      <c r="I66" s="302">
        <f>IF(E66=0,"",H66/E66-1)</f>
        <v>0</v>
      </c>
      <c r="J66" s="831"/>
      <c r="K66" s="297"/>
      <c r="L66" s="298"/>
      <c r="M66" s="297"/>
      <c r="N66" s="297"/>
      <c r="O66" s="820"/>
    </row>
    <row r="67" spans="1:15">
      <c r="A67" s="294">
        <f t="shared" si="3"/>
        <v>60</v>
      </c>
      <c r="B67" s="339" t="str">
        <f>'T-2'!B7</f>
        <v>DSI DELIVERY CHARGE</v>
      </c>
      <c r="C67" s="301">
        <f>'T-2'!C7</f>
        <v>408.33600000000001</v>
      </c>
      <c r="D67" s="301">
        <f>'T-2'!C7</f>
        <v>408.33600000000001</v>
      </c>
      <c r="E67" s="301">
        <f t="shared" si="29"/>
        <v>408.33600000000001</v>
      </c>
      <c r="F67" s="301">
        <f>'T-2'!D7</f>
        <v>408.33600000000001</v>
      </c>
      <c r="G67" s="301">
        <f>'T-2'!E7</f>
        <v>408.33600000000001</v>
      </c>
      <c r="H67" s="301">
        <f t="shared" si="30"/>
        <v>408.33600000000001</v>
      </c>
      <c r="I67" s="302">
        <f t="shared" ref="I67:I71" si="31">IF(E67=0,0,(H67/E67)-1)</f>
        <v>0</v>
      </c>
      <c r="J67" s="828"/>
      <c r="K67" s="828"/>
      <c r="L67" s="298"/>
      <c r="M67" s="297"/>
      <c r="N67" s="297"/>
      <c r="O67" s="820"/>
    </row>
    <row r="68" spans="1:15">
      <c r="A68" s="294">
        <f t="shared" si="3"/>
        <v>61</v>
      </c>
      <c r="B68" s="339" t="str">
        <f>'T-2'!B8</f>
        <v>FIBER OPERATIONS &amp; MAINTENANCE</v>
      </c>
      <c r="C68" s="301">
        <f>'T-2'!C8</f>
        <v>1734.992</v>
      </c>
      <c r="D68" s="301">
        <f>'T-2'!C8</f>
        <v>1734.992</v>
      </c>
      <c r="E68" s="301">
        <f t="shared" si="29"/>
        <v>1734.992</v>
      </c>
      <c r="F68" s="301">
        <f>'T-2'!D8</f>
        <v>1954.8879999999999</v>
      </c>
      <c r="G68" s="301">
        <f>'T-2'!E8</f>
        <v>1201.67083</v>
      </c>
      <c r="H68" s="301">
        <f t="shared" si="30"/>
        <v>1578.279415</v>
      </c>
      <c r="I68" s="302">
        <f t="shared" si="31"/>
        <v>-9.0324672966791808E-2</v>
      </c>
    </row>
    <row r="69" spans="1:15">
      <c r="A69" s="294">
        <f t="shared" si="3"/>
        <v>62</v>
      </c>
      <c r="B69" s="339" t="str">
        <f>'T-2'!B9</f>
        <v>FIBER LEASES</v>
      </c>
      <c r="C69" s="301">
        <f>'T-2'!C9</f>
        <v>7675.6220000000003</v>
      </c>
      <c r="D69" s="301">
        <f>'T-2'!C9</f>
        <v>7675.6220000000003</v>
      </c>
      <c r="E69" s="301">
        <f t="shared" ref="E69:E82" si="32">AVERAGE(C69:D69)</f>
        <v>7675.6220000000003</v>
      </c>
      <c r="F69" s="301">
        <f>'T-2'!D9</f>
        <v>7743.009</v>
      </c>
      <c r="G69" s="301">
        <f>'T-2'!E9</f>
        <v>5606.1691700000001</v>
      </c>
      <c r="H69" s="301">
        <f t="shared" si="30"/>
        <v>6674.5890849999996</v>
      </c>
      <c r="I69" s="302">
        <f t="shared" si="31"/>
        <v>-0.13041717205459058</v>
      </c>
    </row>
    <row r="70" spans="1:15">
      <c r="A70" s="294">
        <f t="shared" si="3"/>
        <v>63</v>
      </c>
      <c r="B70" s="339" t="str">
        <f>'T-2'!B10</f>
        <v>LAND USE/LEASE/SALE</v>
      </c>
      <c r="C70" s="301">
        <f>'T-2'!C10</f>
        <v>216.10300000000001</v>
      </c>
      <c r="D70" s="301">
        <f>'T-2'!C10</f>
        <v>216.10300000000001</v>
      </c>
      <c r="E70" s="301">
        <f t="shared" si="32"/>
        <v>216.10300000000001</v>
      </c>
      <c r="F70" s="301">
        <f>'T-2'!D10</f>
        <v>216.10300000000001</v>
      </c>
      <c r="G70" s="301">
        <f>'T-2'!E10</f>
        <v>216.10300000000001</v>
      </c>
      <c r="H70" s="301">
        <f t="shared" si="30"/>
        <v>216.10300000000001</v>
      </c>
      <c r="I70" s="302">
        <f t="shared" si="31"/>
        <v>0</v>
      </c>
    </row>
    <row r="71" spans="1:15">
      <c r="A71" s="294">
        <f t="shared" si="3"/>
        <v>64</v>
      </c>
      <c r="B71" s="339" t="str">
        <f>'T-2'!B11</f>
        <v>RIGHT-OF-WAY LEASE</v>
      </c>
      <c r="C71" s="301">
        <f>'T-2'!C11</f>
        <v>79.2</v>
      </c>
      <c r="D71" s="301">
        <f>'T-2'!C11</f>
        <v>79.2</v>
      </c>
      <c r="E71" s="301">
        <f t="shared" si="32"/>
        <v>79.2</v>
      </c>
      <c r="F71" s="301">
        <f>'T-2'!D11</f>
        <v>79.2</v>
      </c>
      <c r="G71" s="301">
        <f>'T-2'!E11</f>
        <v>79.2</v>
      </c>
      <c r="H71" s="301">
        <f t="shared" si="30"/>
        <v>79.2</v>
      </c>
      <c r="I71" s="302">
        <f t="shared" si="31"/>
        <v>0</v>
      </c>
    </row>
    <row r="72" spans="1:15">
      <c r="A72" s="294">
        <f t="shared" si="3"/>
        <v>65</v>
      </c>
      <c r="B72" s="339" t="str">
        <f>'T-2'!B12</f>
        <v>MISC SERVICE FEES</v>
      </c>
      <c r="C72" s="301">
        <f>'T-2'!C12</f>
        <v>3.3119999999999998</v>
      </c>
      <c r="D72" s="301">
        <f>'T-2'!C12</f>
        <v>3.3119999999999998</v>
      </c>
      <c r="E72" s="301">
        <f t="shared" si="32"/>
        <v>3.3119999999999998</v>
      </c>
      <c r="F72" s="301">
        <f>'T-2'!D12</f>
        <v>3.3119999999999998</v>
      </c>
      <c r="G72" s="301">
        <f>'T-2'!E12</f>
        <v>3.3119999999999998</v>
      </c>
      <c r="H72" s="301">
        <f t="shared" si="30"/>
        <v>3.3119999999999998</v>
      </c>
      <c r="I72" s="302">
        <f t="shared" ref="I72:I73" si="33">IFERROR((H72-E72)/E72,"N/A")</f>
        <v>0</v>
      </c>
    </row>
    <row r="73" spans="1:15">
      <c r="A73" s="294">
        <f t="shared" si="3"/>
        <v>66</v>
      </c>
      <c r="B73" s="339" t="str">
        <f>'T-2'!B13</f>
        <v>TRANSMISSION PROCESSING FEE</v>
      </c>
      <c r="C73" s="301">
        <f>'T-2'!C13</f>
        <v>39.6</v>
      </c>
      <c r="D73" s="301">
        <f>'T-2'!C13</f>
        <v>39.6</v>
      </c>
      <c r="E73" s="301">
        <f t="shared" si="32"/>
        <v>39.6</v>
      </c>
      <c r="F73" s="301">
        <f>'T-2'!D13</f>
        <v>39.6</v>
      </c>
      <c r="G73" s="301">
        <f>'T-2'!E13</f>
        <v>39.6</v>
      </c>
      <c r="H73" s="301">
        <f t="shared" si="30"/>
        <v>39.6</v>
      </c>
      <c r="I73" s="302">
        <f t="shared" si="33"/>
        <v>0</v>
      </c>
    </row>
    <row r="74" spans="1:15">
      <c r="A74" s="294">
        <f t="shared" si="3"/>
        <v>67</v>
      </c>
      <c r="B74" s="339" t="str">
        <f>'T-2'!B14</f>
        <v>AMORT NONFED PNW AC INTERTIE</v>
      </c>
      <c r="C74" s="301">
        <f>'T-2'!C14</f>
        <v>3488.07564</v>
      </c>
      <c r="D74" s="301">
        <f>'T-2'!C14</f>
        <v>3488.07564</v>
      </c>
      <c r="E74" s="301">
        <f t="shared" si="32"/>
        <v>3488.07564</v>
      </c>
      <c r="F74" s="301">
        <f>'T-2'!D14</f>
        <v>3488.07564</v>
      </c>
      <c r="G74" s="301">
        <f>'T-2'!E14</f>
        <v>3488.07564</v>
      </c>
      <c r="H74" s="301">
        <f t="shared" si="30"/>
        <v>3488.07564</v>
      </c>
      <c r="I74" s="302">
        <f t="shared" ref="I74" si="34">IF(E74=0,0,(H74/E74)-1)</f>
        <v>0</v>
      </c>
    </row>
    <row r="75" spans="1:15">
      <c r="A75" s="294">
        <f t="shared" si="3"/>
        <v>68</v>
      </c>
      <c r="B75" s="339" t="str">
        <f>'T-2'!B15</f>
        <v>O&amp;M FEDERAL FACILITY</v>
      </c>
      <c r="C75" s="301">
        <f>'T-2'!C15</f>
        <v>234.30799999999999</v>
      </c>
      <c r="D75" s="301">
        <f>'T-2'!C15</f>
        <v>234.30799999999999</v>
      </c>
      <c r="E75" s="301">
        <f t="shared" si="32"/>
        <v>234.30799999999999</v>
      </c>
      <c r="F75" s="301">
        <f>'T-2'!D15</f>
        <v>234.30799999999999</v>
      </c>
      <c r="G75" s="301">
        <f>'T-2'!E15</f>
        <v>234.30799999999999</v>
      </c>
      <c r="H75" s="301">
        <f t="shared" si="30"/>
        <v>234.30799999999999</v>
      </c>
      <c r="I75" s="302">
        <f>IFERROR((H75-E75)/E75,"N/A")</f>
        <v>0</v>
      </c>
    </row>
    <row r="76" spans="1:15">
      <c r="A76" s="294">
        <f t="shared" si="3"/>
        <v>69</v>
      </c>
      <c r="B76" s="339" t="str">
        <f>'T-2'!B16</f>
        <v>O&amp;M NON-FEDERAL FACILITY</v>
      </c>
      <c r="C76" s="301">
        <f>'T-2'!C16</f>
        <v>1093.308</v>
      </c>
      <c r="D76" s="301">
        <f>'T-2'!C16</f>
        <v>1093.308</v>
      </c>
      <c r="E76" s="301">
        <f t="shared" si="32"/>
        <v>1093.308</v>
      </c>
      <c r="F76" s="301">
        <f>'T-2'!D16</f>
        <v>1093.308</v>
      </c>
      <c r="G76" s="301">
        <f>'T-2'!E16</f>
        <v>1093.308</v>
      </c>
      <c r="H76" s="301">
        <f t="shared" si="30"/>
        <v>1093.308</v>
      </c>
      <c r="I76" s="302">
        <f>IFERROR((H76-E76)/E76,"N/A")</f>
        <v>0</v>
      </c>
    </row>
    <row r="77" spans="1:15">
      <c r="A77" s="294">
        <f t="shared" si="3"/>
        <v>70</v>
      </c>
      <c r="B77" s="339" t="str">
        <f>'T-2'!B17</f>
        <v>MISC LEASES</v>
      </c>
      <c r="C77" s="301">
        <f>'T-2'!C17</f>
        <v>104.85899999999999</v>
      </c>
      <c r="D77" s="301">
        <f>'T-2'!C17</f>
        <v>104.85899999999999</v>
      </c>
      <c r="E77" s="301">
        <f t="shared" si="32"/>
        <v>104.85899999999999</v>
      </c>
      <c r="F77" s="301">
        <f>'T-2'!D17</f>
        <v>104.85899999999999</v>
      </c>
      <c r="G77" s="301">
        <f>'T-2'!E17</f>
        <v>104.85899999999999</v>
      </c>
      <c r="H77" s="301">
        <f t="shared" si="30"/>
        <v>104.85899999999999</v>
      </c>
      <c r="I77" s="302">
        <f t="shared" ref="I77:I85" si="35">IF(E77=0,0,(H77/E77)-1)</f>
        <v>0</v>
      </c>
    </row>
    <row r="78" spans="1:15">
      <c r="A78" s="294">
        <f t="shared" si="3"/>
        <v>71</v>
      </c>
      <c r="B78" s="339" t="str">
        <f>'T-2'!B18</f>
        <v>BPA EQUIPMENT USE</v>
      </c>
      <c r="C78" s="301">
        <f>'T-2'!C18</f>
        <v>186.38399999999999</v>
      </c>
      <c r="D78" s="301">
        <f>'T-2'!C18</f>
        <v>186.38399999999999</v>
      </c>
      <c r="E78" s="301">
        <f t="shared" si="32"/>
        <v>186.38399999999999</v>
      </c>
      <c r="F78" s="301">
        <f>'T-2'!D18</f>
        <v>186.38399999999999</v>
      </c>
      <c r="G78" s="301">
        <f>'T-2'!E18</f>
        <v>186.38399999999999</v>
      </c>
      <c r="H78" s="301">
        <f t="shared" si="30"/>
        <v>186.38399999999999</v>
      </c>
      <c r="I78" s="302">
        <f t="shared" si="35"/>
        <v>0</v>
      </c>
      <c r="J78" s="341"/>
      <c r="K78" s="345"/>
    </row>
    <row r="79" spans="1:15">
      <c r="A79" s="294">
        <f t="shared" si="3"/>
        <v>72</v>
      </c>
      <c r="B79" s="339" t="str">
        <f>'T-2'!B19</f>
        <v>TRANSMISSION OPERATOR SERVICES</v>
      </c>
      <c r="C79" s="301">
        <f>'T-2'!C19</f>
        <v>673.32</v>
      </c>
      <c r="D79" s="301">
        <f>'T-2'!C19</f>
        <v>673.32</v>
      </c>
      <c r="E79" s="301">
        <f t="shared" si="32"/>
        <v>673.32</v>
      </c>
      <c r="F79" s="301">
        <f>'T-2'!D19</f>
        <v>673.32</v>
      </c>
      <c r="G79" s="301">
        <f>'T-2'!E19</f>
        <v>673.32</v>
      </c>
      <c r="H79" s="301">
        <f t="shared" si="30"/>
        <v>673.32</v>
      </c>
      <c r="I79" s="302">
        <f t="shared" si="35"/>
        <v>0</v>
      </c>
    </row>
    <row r="80" spans="1:15">
      <c r="A80" s="294">
        <f t="shared" si="3"/>
        <v>73</v>
      </c>
      <c r="B80" s="339" t="str">
        <f>'T-2'!B20</f>
        <v>3RD AC RAS GENERATION DROPPING</v>
      </c>
      <c r="C80" s="301">
        <f>'T-2'!C20</f>
        <v>60.54392</v>
      </c>
      <c r="D80" s="301">
        <f>'T-2'!C20</f>
        <v>60.54392</v>
      </c>
      <c r="E80" s="301">
        <f t="shared" si="32"/>
        <v>60.54392</v>
      </c>
      <c r="F80" s="301">
        <f>'T-2'!D20</f>
        <v>38.112000000000002</v>
      </c>
      <c r="G80" s="301">
        <f>'T-2'!E20</f>
        <v>38.112000000000002</v>
      </c>
      <c r="H80" s="301">
        <f t="shared" si="30"/>
        <v>38.112000000000002</v>
      </c>
      <c r="I80" s="302">
        <f t="shared" si="35"/>
        <v>-0.37050656779409064</v>
      </c>
    </row>
    <row r="81" spans="1:11">
      <c r="A81" s="294">
        <f t="shared" si="3"/>
        <v>74</v>
      </c>
      <c r="B81" s="339" t="str">
        <f>'T-2'!B21</f>
        <v>PTP RESERVATION FEE</v>
      </c>
      <c r="C81" s="301">
        <f>'T-2'!C21</f>
        <v>378.65100000000001</v>
      </c>
      <c r="D81" s="301">
        <f>'T-2'!C21</f>
        <v>378.65100000000001</v>
      </c>
      <c r="E81" s="301">
        <f t="shared" si="32"/>
        <v>378.65100000000001</v>
      </c>
      <c r="F81" s="301">
        <f>'T-2'!D21</f>
        <v>378.65100000000001</v>
      </c>
      <c r="G81" s="301">
        <f>'T-2'!E21</f>
        <v>332.661</v>
      </c>
      <c r="H81" s="301">
        <f t="shared" si="30"/>
        <v>355.65600000000001</v>
      </c>
      <c r="I81" s="302">
        <f t="shared" si="35"/>
        <v>-6.0728744939271273E-2</v>
      </c>
    </row>
    <row r="82" spans="1:11">
      <c r="A82" s="294">
        <f t="shared" ref="A82:A91" si="36">A81+1</f>
        <v>75</v>
      </c>
      <c r="B82" s="339" t="str">
        <f>'T-2'!B22</f>
        <v>TS SHARE OF RES ENRGY/WHLG-COE</v>
      </c>
      <c r="C82" s="301">
        <f>'T-2'!C22</f>
        <v>245.697</v>
      </c>
      <c r="D82" s="301">
        <f>'T-2'!C22</f>
        <v>245.697</v>
      </c>
      <c r="E82" s="301">
        <f t="shared" si="32"/>
        <v>245.697</v>
      </c>
      <c r="F82" s="301">
        <f>'T-2'!D22</f>
        <v>245.697</v>
      </c>
      <c r="G82" s="301">
        <f>'T-2'!E22</f>
        <v>245.697</v>
      </c>
      <c r="H82" s="301">
        <f t="shared" si="30"/>
        <v>245.697</v>
      </c>
      <c r="I82" s="302">
        <f t="shared" si="35"/>
        <v>0</v>
      </c>
      <c r="K82" s="283" t="s">
        <v>9</v>
      </c>
    </row>
    <row r="83" spans="1:11">
      <c r="A83" s="294">
        <f t="shared" si="36"/>
        <v>76</v>
      </c>
      <c r="B83" s="339" t="str">
        <f>'T-2'!B23</f>
        <v>UFT FIXED DOLLAR AMOUNT</v>
      </c>
      <c r="C83" s="301">
        <f>'T-2'!C23</f>
        <v>3622.1959999999999</v>
      </c>
      <c r="D83" s="301">
        <f>'T-2'!C23</f>
        <v>3622.1959999999999</v>
      </c>
      <c r="E83" s="301">
        <f t="shared" si="29"/>
        <v>3622.1959999999999</v>
      </c>
      <c r="F83" s="301">
        <f>'T-2'!D23</f>
        <v>3419.7359999999999</v>
      </c>
      <c r="G83" s="301">
        <f>'T-2'!E23</f>
        <v>3406.1280000000002</v>
      </c>
      <c r="H83" s="301">
        <f t="shared" si="30"/>
        <v>3412.9319999999998</v>
      </c>
      <c r="I83" s="302">
        <f t="shared" si="35"/>
        <v>-5.7772688170380615E-2</v>
      </c>
    </row>
    <row r="84" spans="1:11">
      <c r="A84" s="294">
        <f t="shared" si="36"/>
        <v>77</v>
      </c>
      <c r="B84" s="339" t="str">
        <f>'T-2'!B24</f>
        <v>UFT VARIABLE SERVICE AMT</v>
      </c>
      <c r="C84" s="301">
        <f>'T-2'!C24</f>
        <v>228.19200000000001</v>
      </c>
      <c r="D84" s="301">
        <f>'T-2'!C24</f>
        <v>228.19200000000001</v>
      </c>
      <c r="E84" s="301">
        <f t="shared" si="29"/>
        <v>228.19200000000001</v>
      </c>
      <c r="F84" s="301">
        <f>'T-2'!D24</f>
        <v>228.19200000000001</v>
      </c>
      <c r="G84" s="301">
        <f>'T-2'!E24</f>
        <v>228.19200000000001</v>
      </c>
      <c r="H84" s="301">
        <f t="shared" si="30"/>
        <v>228.19200000000001</v>
      </c>
      <c r="I84" s="302">
        <f t="shared" si="35"/>
        <v>0</v>
      </c>
    </row>
    <row r="85" spans="1:11">
      <c r="A85" s="294">
        <f t="shared" si="36"/>
        <v>78</v>
      </c>
      <c r="B85" s="339" t="str">
        <f>'T-2'!B25</f>
        <v>PCS WIRELESS LEASES</v>
      </c>
      <c r="C85" s="301">
        <f>'T-2'!C25</f>
        <v>7008.1309600000004</v>
      </c>
      <c r="D85" s="301">
        <f>'T-2'!C25</f>
        <v>7008.1309600000004</v>
      </c>
      <c r="E85" s="301">
        <f t="shared" ref="E85:E87" si="37">+AVERAGE(C85:D85)</f>
        <v>7008.1309600000004</v>
      </c>
      <c r="F85" s="301">
        <f>'T-2'!D25</f>
        <v>7008.1309600000004</v>
      </c>
      <c r="G85" s="301">
        <f>'T-2'!E25</f>
        <v>7008.1309600000004</v>
      </c>
      <c r="H85" s="301">
        <f t="shared" si="30"/>
        <v>7008.1309600000004</v>
      </c>
      <c r="I85" s="302">
        <f t="shared" si="35"/>
        <v>0</v>
      </c>
    </row>
    <row r="86" spans="1:11">
      <c r="A86" s="294">
        <f t="shared" si="36"/>
        <v>79</v>
      </c>
      <c r="B86" s="339" t="str">
        <f>'T-2'!B26</f>
        <v>PCS CONSTRUCTION</v>
      </c>
      <c r="C86" s="301">
        <f>'T-2'!C26</f>
        <v>3900</v>
      </c>
      <c r="D86" s="301">
        <f>'T-2'!C26</f>
        <v>3900</v>
      </c>
      <c r="E86" s="301">
        <f t="shared" si="37"/>
        <v>3900</v>
      </c>
      <c r="F86" s="301">
        <f>'T-2'!D26</f>
        <v>3720</v>
      </c>
      <c r="G86" s="301">
        <f>'T-2'!E26</f>
        <v>3720</v>
      </c>
      <c r="H86" s="301">
        <f t="shared" si="30"/>
        <v>3720</v>
      </c>
      <c r="I86" s="302">
        <f>IFERROR((H86-E86)/E86,"N/A")</f>
        <v>-4.6153846153846156E-2</v>
      </c>
    </row>
    <row r="87" spans="1:11" ht="16.5" customHeight="1">
      <c r="A87" s="294">
        <f t="shared" si="36"/>
        <v>80</v>
      </c>
      <c r="B87" s="339" t="str">
        <f>'T-2'!B27</f>
        <v>PCS OPERATIONS &amp; MAINTENANCE</v>
      </c>
      <c r="C87" s="301">
        <f>'T-2'!C27</f>
        <v>312</v>
      </c>
      <c r="D87" s="301">
        <f>'T-2'!C27</f>
        <v>312</v>
      </c>
      <c r="E87" s="301">
        <f t="shared" si="37"/>
        <v>312</v>
      </c>
      <c r="F87" s="301">
        <f>'T-2'!D27</f>
        <v>312</v>
      </c>
      <c r="G87" s="301">
        <f>'T-2'!E27</f>
        <v>312</v>
      </c>
      <c r="H87" s="301">
        <f t="shared" si="30"/>
        <v>312</v>
      </c>
      <c r="I87" s="302">
        <f t="shared" ref="I87" si="38">IF(E87=0,0,(H87/E87)-1)</f>
        <v>0</v>
      </c>
    </row>
    <row r="88" spans="1:11">
      <c r="A88" s="294">
        <f t="shared" si="36"/>
        <v>81</v>
      </c>
      <c r="B88" s="339" t="s">
        <v>110</v>
      </c>
      <c r="C88" s="317">
        <v>13138.421819771076</v>
      </c>
      <c r="D88" s="317">
        <v>13232.680915036895</v>
      </c>
      <c r="E88" s="317">
        <f>+AVERAGE(C88:D88)</f>
        <v>13185.551367403987</v>
      </c>
      <c r="F88" s="317">
        <f>+'T-3'!C20</f>
        <v>14723.006574189698</v>
      </c>
      <c r="G88" s="301">
        <f>+'T-3'!C33</f>
        <v>14809.249217132274</v>
      </c>
      <c r="H88" s="317">
        <f t="shared" si="30"/>
        <v>14766.127895660986</v>
      </c>
      <c r="I88" s="302">
        <f t="shared" ref="I88:I91" si="39">IF(E88=0,0,(H88/E88)-1)</f>
        <v>0.11987185702103775</v>
      </c>
    </row>
    <row r="89" spans="1:11">
      <c r="A89" s="294">
        <f t="shared" si="36"/>
        <v>82</v>
      </c>
      <c r="B89" s="339" t="s">
        <v>404</v>
      </c>
      <c r="C89" s="346">
        <f>'T-8'!E30*'T-11'!F53*12</f>
        <v>12456</v>
      </c>
      <c r="D89" s="346">
        <f>'T-8'!E30*'T-11'!F53*12</f>
        <v>12456</v>
      </c>
      <c r="E89" s="317">
        <f>+AVERAGE(C89:D89)</f>
        <v>12456</v>
      </c>
      <c r="F89" s="346">
        <f>+'T-8'!E30*'T-8'!F35*12</f>
        <v>12227.64</v>
      </c>
      <c r="G89" s="346">
        <f>'T-8'!E30*'T-8'!F35*12</f>
        <v>12227.64</v>
      </c>
      <c r="H89" s="317">
        <f t="shared" si="30"/>
        <v>12227.64</v>
      </c>
      <c r="I89" s="302">
        <f t="shared" si="39"/>
        <v>-1.8333333333333424E-2</v>
      </c>
    </row>
    <row r="90" spans="1:11">
      <c r="A90" s="294">
        <f t="shared" si="36"/>
        <v>83</v>
      </c>
      <c r="B90" s="326" t="s">
        <v>181</v>
      </c>
      <c r="C90" s="347">
        <f t="shared" ref="C90:H90" si="40">SUM(C66:C89)</f>
        <v>59497.052339771079</v>
      </c>
      <c r="D90" s="347">
        <f t="shared" si="40"/>
        <v>59591.311435036892</v>
      </c>
      <c r="E90" s="347">
        <f t="shared" si="40"/>
        <v>59544.181887403989</v>
      </c>
      <c r="F90" s="347">
        <f t="shared" si="40"/>
        <v>60735.668174189697</v>
      </c>
      <c r="G90" s="347">
        <f t="shared" si="40"/>
        <v>57872.255817132274</v>
      </c>
      <c r="H90" s="347">
        <f t="shared" si="40"/>
        <v>59303.961995660982</v>
      </c>
      <c r="I90" s="348">
        <f t="shared" si="39"/>
        <v>-4.0343134144870119E-3</v>
      </c>
    </row>
    <row r="91" spans="1:11">
      <c r="A91" s="294">
        <f t="shared" si="36"/>
        <v>84</v>
      </c>
      <c r="B91" s="857" t="str">
        <f>IF(L2=1,"Total Revenue","Total Revenue Less GI")</f>
        <v>Total Revenue</v>
      </c>
      <c r="C91" s="895">
        <f>SUM(C63+C90)</f>
        <v>1094556.825980535</v>
      </c>
      <c r="D91" s="895">
        <f>SUM(D63+D90)</f>
        <v>1097428.9973110203</v>
      </c>
      <c r="E91" s="895">
        <f>+AVERAGE(C91:D91)</f>
        <v>1095992.9116457775</v>
      </c>
      <c r="F91" s="895">
        <f>SUM(F63+F90)</f>
        <v>1151164.2321698058</v>
      </c>
      <c r="G91" s="895">
        <f>SUM(G63+G90)</f>
        <v>1151442.4736368551</v>
      </c>
      <c r="H91" s="895">
        <f>+AVERAGE(F91:G91)</f>
        <v>1151303.3529033305</v>
      </c>
      <c r="I91" s="896">
        <f t="shared" si="39"/>
        <v>5.0466057462449365E-2</v>
      </c>
    </row>
    <row r="92" spans="1:11">
      <c r="A92" s="349" t="s">
        <v>569</v>
      </c>
      <c r="B92" s="350" t="s">
        <v>643</v>
      </c>
      <c r="C92" s="314"/>
      <c r="D92" s="314"/>
      <c r="E92" s="314"/>
      <c r="F92" s="314"/>
      <c r="G92" s="314"/>
      <c r="H92" s="314"/>
      <c r="I92" s="296"/>
    </row>
    <row r="93" spans="1:11">
      <c r="A93" s="294"/>
      <c r="B93" s="351"/>
      <c r="C93" s="314"/>
      <c r="D93" s="314"/>
      <c r="E93" s="314"/>
      <c r="F93" s="314"/>
      <c r="G93" s="314"/>
      <c r="H93" s="314"/>
      <c r="I93" s="296"/>
    </row>
    <row r="94" spans="1:11">
      <c r="A94" s="294"/>
      <c r="B94" s="351"/>
      <c r="C94" s="314"/>
      <c r="D94" s="314"/>
      <c r="E94" s="314"/>
      <c r="F94" s="314"/>
      <c r="G94" s="314"/>
      <c r="H94" s="314"/>
      <c r="I94" s="296"/>
    </row>
    <row r="95" spans="1:11" ht="18">
      <c r="A95" s="290"/>
      <c r="B95" s="334" t="s">
        <v>654</v>
      </c>
      <c r="C95" s="352"/>
      <c r="D95" s="352"/>
      <c r="E95" s="314"/>
      <c r="F95" s="352"/>
      <c r="G95" s="352"/>
      <c r="H95" s="314"/>
      <c r="I95" s="281"/>
    </row>
    <row r="96" spans="1:11">
      <c r="A96" s="359">
        <f>A91+1</f>
        <v>85</v>
      </c>
      <c r="B96" s="360" t="s">
        <v>655</v>
      </c>
      <c r="C96" s="891">
        <f>('T-10.4'!$E$87*'T-10.3'!$D$23*8760/1000)*$L$2</f>
        <v>25291.222851670023</v>
      </c>
      <c r="D96" s="891">
        <f>('T-10.4'!$E$87*'T-10.3'!$D$23*8760/1000)*$L$2</f>
        <v>25291.222851670023</v>
      </c>
      <c r="E96" s="891">
        <f>AVERAGE(C96:D96)</f>
        <v>25291.222851670023</v>
      </c>
      <c r="F96" s="891">
        <f>('T-10.4'!$E$87*'T-10.3'!$E$23*8760/1000)*$L$2</f>
        <v>22710.48582598941</v>
      </c>
      <c r="G96" s="891">
        <f>('T-10.4'!$E$87*'T-10.3'!$E$23*8760/1000)*L2</f>
        <v>22710.48582598941</v>
      </c>
      <c r="H96" s="891">
        <f>AVERAGE(F96:G96)</f>
        <v>22710.48582598941</v>
      </c>
      <c r="I96" s="897">
        <f t="shared" ref="I96:I99" si="41">IF(E96=0,0,(H96/E96)-1)</f>
        <v>-0.10204081632653061</v>
      </c>
    </row>
    <row r="97" spans="1:59" s="286" customFormat="1">
      <c r="A97" s="359">
        <f t="shared" ref="A97:A103" si="42">A96+1</f>
        <v>86</v>
      </c>
      <c r="B97" s="362" t="s">
        <v>659</v>
      </c>
      <c r="C97" s="891">
        <f>SUM(C98:C99)</f>
        <v>37681.91588</v>
      </c>
      <c r="D97" s="891">
        <f>SUM(D98:D99)</f>
        <v>37681.91588</v>
      </c>
      <c r="E97" s="891">
        <f t="shared" ref="E97:E101" si="43">AVERAGE(C97:D97)</f>
        <v>37681.91588</v>
      </c>
      <c r="F97" s="891">
        <f>SUM(F98:F99)</f>
        <v>26998.148891080506</v>
      </c>
      <c r="G97" s="891">
        <f>SUM(G98:G99)</f>
        <v>26998.148891080506</v>
      </c>
      <c r="H97" s="891">
        <f t="shared" ref="H97:H102" si="44">AVERAGE(F97:G97)</f>
        <v>26998.148891080506</v>
      </c>
      <c r="I97" s="897">
        <f t="shared" si="41"/>
        <v>-0.28352504747748231</v>
      </c>
      <c r="J97" s="287"/>
      <c r="K97" s="305"/>
      <c r="L97" s="306"/>
      <c r="M97" s="305"/>
      <c r="N97" s="305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</row>
    <row r="98" spans="1:59" s="286" customFormat="1">
      <c r="A98" s="359">
        <f t="shared" si="42"/>
        <v>87</v>
      </c>
      <c r="B98" s="360" t="s">
        <v>656</v>
      </c>
      <c r="C98" s="891">
        <f>L2*('T-10.3'!$D$15*'T-10.4'!$E$49*12)</f>
        <v>37067.368399999999</v>
      </c>
      <c r="D98" s="891">
        <f>L2*('T-10.3'!$D$15*'T-10.4'!$E$49*12)</f>
        <v>37067.368399999999</v>
      </c>
      <c r="E98" s="891">
        <f t="shared" si="43"/>
        <v>37067.368399999999</v>
      </c>
      <c r="F98" s="891">
        <f>('T-10.4'!$E$102*'T-10.3'!$E$31*12+'T-10.4'!$E$108*'T-10.3'!$E$35*12)*L2</f>
        <v>26164.522920000003</v>
      </c>
      <c r="G98" s="891">
        <f>('T-10.4'!$E$102*'T-10.3'!$E$31*12+'T-10.4'!$E$108*'T-10.3'!$E$35*12)*L2</f>
        <v>26164.522920000003</v>
      </c>
      <c r="H98" s="891">
        <f t="shared" si="44"/>
        <v>26164.522920000003</v>
      </c>
      <c r="I98" s="897">
        <f t="shared" si="41"/>
        <v>-0.29413594626803874</v>
      </c>
      <c r="J98" s="287"/>
      <c r="K98" s="305"/>
      <c r="L98" s="306"/>
      <c r="M98" s="305"/>
      <c r="N98" s="305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</row>
    <row r="99" spans="1:59" s="286" customFormat="1">
      <c r="A99" s="359">
        <f t="shared" si="42"/>
        <v>88</v>
      </c>
      <c r="B99" s="360" t="s">
        <v>657</v>
      </c>
      <c r="C99" s="317">
        <f>L2*('T-10.4'!$E$94*'T-10.3'!$D$26*12/1000+'T-10.4'!$E$96*'T-10.3'!$D$27*12/1000)</f>
        <v>614.54747999999995</v>
      </c>
      <c r="D99" s="317">
        <f>L2*('T-10.4'!$E$94*'T-10.3'!$D$26*12/1000+'T-10.4'!$E$96*'T-10.3'!$D$27*12/1000)</f>
        <v>614.54747999999995</v>
      </c>
      <c r="E99" s="317">
        <f t="shared" si="43"/>
        <v>614.54747999999995</v>
      </c>
      <c r="F99" s="317">
        <f>('T-10.4'!$E$94*'T-10.3'!$E$26*12/1000+'T-10.4'!$E$96*'T-10.3'!$E$27*12/1000)*L2</f>
        <v>833.62597108050397</v>
      </c>
      <c r="G99" s="317">
        <f>('T-10.4'!$E$94*'T-10.3'!$E$26*12/1000+'T-10.4'!$E$96*'T-10.3'!$E$27*12/1000)*L2</f>
        <v>833.62597108050397</v>
      </c>
      <c r="H99" s="317">
        <f t="shared" si="44"/>
        <v>833.62597108050397</v>
      </c>
      <c r="I99" s="361">
        <f t="shared" si="41"/>
        <v>0.35648749398582513</v>
      </c>
      <c r="J99" s="287"/>
      <c r="K99" s="305"/>
      <c r="L99" s="306"/>
      <c r="M99" s="305"/>
      <c r="N99" s="305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</row>
    <row r="100" spans="1:59" s="286" customFormat="1">
      <c r="A100" s="359">
        <f t="shared" si="42"/>
        <v>89</v>
      </c>
      <c r="B100" s="360" t="s">
        <v>46</v>
      </c>
      <c r="C100" s="317">
        <v>0</v>
      </c>
      <c r="D100" s="317">
        <v>0</v>
      </c>
      <c r="E100" s="317">
        <f t="shared" si="43"/>
        <v>0</v>
      </c>
      <c r="F100" s="317">
        <v>0</v>
      </c>
      <c r="G100" s="317">
        <v>0</v>
      </c>
      <c r="H100" s="317">
        <f t="shared" si="44"/>
        <v>0</v>
      </c>
      <c r="I100" s="361">
        <f>IF(E100=0,0,(H100/E100)-1)</f>
        <v>0</v>
      </c>
      <c r="J100" s="287"/>
      <c r="K100" s="305"/>
      <c r="L100" s="306"/>
      <c r="M100" s="305"/>
      <c r="N100" s="305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287"/>
      <c r="BA100" s="287"/>
      <c r="BB100" s="287"/>
      <c r="BC100" s="287"/>
      <c r="BD100" s="287"/>
      <c r="BE100" s="287"/>
      <c r="BF100" s="287"/>
      <c r="BG100" s="287"/>
    </row>
    <row r="101" spans="1:59" s="286" customFormat="1">
      <c r="A101" s="359">
        <f t="shared" si="42"/>
        <v>90</v>
      </c>
      <c r="B101" s="360" t="s">
        <v>178</v>
      </c>
      <c r="C101" s="317">
        <v>0</v>
      </c>
      <c r="D101" s="317">
        <v>0</v>
      </c>
      <c r="E101" s="317">
        <f t="shared" si="43"/>
        <v>0</v>
      </c>
      <c r="F101" s="317">
        <v>0</v>
      </c>
      <c r="G101" s="317">
        <v>0</v>
      </c>
      <c r="H101" s="317">
        <f t="shared" si="44"/>
        <v>0</v>
      </c>
      <c r="I101" s="361">
        <f t="shared" ref="I101" si="45">IF(E101=0,0,(H101/E101)-1)</f>
        <v>0</v>
      </c>
      <c r="J101" s="287"/>
      <c r="K101" s="305"/>
      <c r="L101" s="306"/>
      <c r="M101" s="305"/>
      <c r="N101" s="305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</row>
    <row r="102" spans="1:59" s="286" customFormat="1">
      <c r="A102" s="363">
        <f t="shared" si="42"/>
        <v>91</v>
      </c>
      <c r="B102" s="360" t="s">
        <v>555</v>
      </c>
      <c r="C102" s="312">
        <v>0</v>
      </c>
      <c r="D102" s="312">
        <v>0</v>
      </c>
      <c r="E102" s="312">
        <v>0</v>
      </c>
      <c r="F102" s="312">
        <v>0</v>
      </c>
      <c r="G102" s="312">
        <v>0</v>
      </c>
      <c r="H102" s="312">
        <f t="shared" si="44"/>
        <v>0</v>
      </c>
      <c r="I102" s="364">
        <f>IF(E102=0,0,(H102/E102)-1)</f>
        <v>0</v>
      </c>
      <c r="J102" s="287"/>
      <c r="K102" s="305"/>
      <c r="L102" s="306"/>
      <c r="M102" s="305"/>
      <c r="N102" s="305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</row>
    <row r="103" spans="1:59" s="286" customFormat="1">
      <c r="A103" s="294">
        <f t="shared" si="42"/>
        <v>92</v>
      </c>
      <c r="B103" s="326" t="s">
        <v>658</v>
      </c>
      <c r="C103" s="891">
        <f t="shared" ref="C103:F103" si="46">SUM(C96,C97,C100:C101)</f>
        <v>62973.138731670027</v>
      </c>
      <c r="D103" s="891">
        <f t="shared" si="46"/>
        <v>62973.138731670027</v>
      </c>
      <c r="E103" s="891">
        <f t="shared" si="46"/>
        <v>62973.138731670027</v>
      </c>
      <c r="F103" s="891">
        <f t="shared" si="46"/>
        <v>49708.634717069915</v>
      </c>
      <c r="G103" s="891">
        <f>SUM(G96,G97,G100:G101)</f>
        <v>49708.634717069915</v>
      </c>
      <c r="H103" s="891">
        <f t="shared" ref="H103" si="47">SUM(H95,H96,H97,H100:H101)</f>
        <v>49708.634717069915</v>
      </c>
      <c r="I103" s="898">
        <f>SUM(I95,I96,I97,I100:I101)</f>
        <v>-0.38556586380401292</v>
      </c>
      <c r="J103" s="287"/>
      <c r="K103" s="305"/>
      <c r="L103" s="306"/>
      <c r="M103" s="305"/>
      <c r="N103" s="305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</row>
    <row r="104" spans="1:59" s="286" customFormat="1" ht="39" customHeight="1">
      <c r="A104" s="353"/>
      <c r="B104" s="923" t="s">
        <v>644</v>
      </c>
      <c r="C104" s="924"/>
      <c r="D104" s="924"/>
      <c r="E104" s="924"/>
      <c r="F104" s="924"/>
      <c r="G104" s="924"/>
      <c r="H104" s="338"/>
      <c r="I104" s="317"/>
      <c r="J104" s="287"/>
      <c r="K104" s="305"/>
      <c r="L104" s="306"/>
      <c r="M104" s="305"/>
      <c r="N104" s="305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</row>
    <row r="105" spans="1:59" s="286" customFormat="1">
      <c r="A105" s="836"/>
      <c r="B105" s="837"/>
      <c r="C105" s="838"/>
      <c r="D105" s="838"/>
      <c r="E105" s="839"/>
      <c r="F105" s="826"/>
      <c r="G105" s="826"/>
      <c r="H105" s="840"/>
      <c r="I105" s="828"/>
      <c r="J105" s="287"/>
      <c r="K105" s="305"/>
      <c r="L105" s="306"/>
      <c r="M105" s="305"/>
      <c r="N105" s="305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</row>
    <row r="106" spans="1:59" s="286" customFormat="1">
      <c r="A106" s="836"/>
      <c r="B106" s="837"/>
      <c r="C106" s="838"/>
      <c r="D106" s="838"/>
      <c r="E106" s="839"/>
      <c r="F106" s="826"/>
      <c r="G106" s="826"/>
      <c r="H106" s="840"/>
      <c r="I106" s="828"/>
      <c r="J106" s="287"/>
      <c r="K106" s="305"/>
      <c r="L106" s="306"/>
      <c r="M106" s="305"/>
      <c r="N106" s="305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</row>
    <row r="107" spans="1:59" s="286" customFormat="1">
      <c r="A107" s="836"/>
      <c r="B107" s="844"/>
      <c r="C107" s="838"/>
      <c r="D107" s="838"/>
      <c r="E107" s="839"/>
      <c r="F107" s="826"/>
      <c r="G107" s="826"/>
      <c r="H107" s="840"/>
      <c r="I107" s="828"/>
      <c r="J107" s="287"/>
      <c r="K107" s="305"/>
      <c r="L107" s="306"/>
      <c r="M107" s="305"/>
      <c r="N107" s="305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  <c r="AV107" s="287"/>
      <c r="AW107" s="287"/>
      <c r="AX107" s="287"/>
      <c r="AY107" s="287"/>
      <c r="AZ107" s="287"/>
      <c r="BA107" s="287"/>
      <c r="BB107" s="287"/>
      <c r="BC107" s="287"/>
      <c r="BD107" s="287"/>
      <c r="BE107" s="287"/>
      <c r="BF107" s="287"/>
      <c r="BG107" s="287"/>
    </row>
    <row r="108" spans="1:59" s="286" customFormat="1" ht="16.2" thickBot="1">
      <c r="A108" s="836"/>
      <c r="B108" s="287"/>
      <c r="C108" s="841"/>
      <c r="D108" s="841"/>
      <c r="E108" s="841"/>
      <c r="F108" s="828"/>
      <c r="G108" s="828"/>
      <c r="H108" s="828"/>
      <c r="I108" s="828"/>
      <c r="J108" s="287"/>
      <c r="K108" s="305"/>
      <c r="L108" s="306"/>
      <c r="M108" s="305"/>
      <c r="N108" s="305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</row>
    <row r="109" spans="1:59" s="286" customFormat="1">
      <c r="A109" s="836"/>
      <c r="B109" s="859" t="s">
        <v>398</v>
      </c>
      <c r="C109" s="860"/>
      <c r="D109" s="860"/>
      <c r="E109" s="861"/>
      <c r="F109" s="862"/>
      <c r="G109" s="862"/>
      <c r="H109" s="863"/>
      <c r="I109" s="828"/>
      <c r="J109" s="287"/>
      <c r="K109" s="305"/>
      <c r="L109" s="306"/>
      <c r="M109" s="305"/>
      <c r="N109" s="305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</row>
    <row r="110" spans="1:59" s="286" customFormat="1">
      <c r="A110" s="836"/>
      <c r="B110" s="864" t="s">
        <v>399</v>
      </c>
      <c r="C110" s="317"/>
      <c r="D110" s="317"/>
      <c r="E110" s="355" t="s">
        <v>396</v>
      </c>
      <c r="F110" s="865">
        <f>IF($L$2=1,'T-1'!$C$15,'T-1'!$C$15-('T-1'!$J$15-'T-10.1'!$D$14))</f>
        <v>1143168.7600636608</v>
      </c>
      <c r="G110" s="865">
        <f>+IF($L$2=1,'T-1'!$C$24,'T-1'!$C$24-('T-1'!$J$24-'T-10.1'!$E$14))</f>
        <v>1159432.2743000628</v>
      </c>
      <c r="H110" s="866">
        <f>+AVERAGE(F110:G110)</f>
        <v>1151300.5171818617</v>
      </c>
      <c r="I110" s="828"/>
      <c r="J110" s="287"/>
      <c r="K110" s="305"/>
      <c r="L110" s="306"/>
      <c r="M110" s="305"/>
      <c r="N110" s="305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7"/>
      <c r="AT110" s="287"/>
      <c r="AU110" s="287"/>
      <c r="AV110" s="287"/>
      <c r="AW110" s="287"/>
      <c r="AX110" s="287"/>
      <c r="AY110" s="287"/>
      <c r="AZ110" s="287"/>
      <c r="BA110" s="287"/>
      <c r="BB110" s="287"/>
      <c r="BC110" s="287"/>
      <c r="BD110" s="287"/>
      <c r="BE110" s="287"/>
      <c r="BF110" s="287"/>
      <c r="BG110" s="287"/>
    </row>
    <row r="111" spans="1:59">
      <c r="A111" s="836"/>
      <c r="B111" s="864" t="s">
        <v>400</v>
      </c>
      <c r="C111" s="317"/>
      <c r="D111" s="317"/>
      <c r="E111" s="355" t="s">
        <v>397</v>
      </c>
      <c r="F111" s="354">
        <f>+F91-F110</f>
        <v>7995.4721061449964</v>
      </c>
      <c r="G111" s="354">
        <f>+G91-G110</f>
        <v>-7989.8006632076576</v>
      </c>
      <c r="H111" s="867">
        <f>+AVERAGE(F111:G111)</f>
        <v>2.8357214686693624</v>
      </c>
      <c r="I111" s="341"/>
    </row>
    <row r="112" spans="1:59">
      <c r="B112" s="864"/>
      <c r="C112" s="356"/>
      <c r="D112" s="317"/>
      <c r="E112" s="356"/>
      <c r="F112" s="356"/>
      <c r="G112" s="356"/>
      <c r="H112" s="868"/>
      <c r="L112" s="357"/>
    </row>
    <row r="113" spans="1:9" ht="23.25" customHeight="1">
      <c r="A113" s="843"/>
      <c r="B113" s="864"/>
      <c r="C113" s="356"/>
      <c r="D113" s="317"/>
      <c r="E113" s="356" t="s">
        <v>394</v>
      </c>
      <c r="F113" s="356"/>
      <c r="G113" s="356"/>
      <c r="H113" s="868"/>
    </row>
    <row r="114" spans="1:9" ht="16.2" thickBot="1">
      <c r="A114" s="836"/>
      <c r="B114" s="869"/>
      <c r="C114" s="870"/>
      <c r="D114" s="871"/>
      <c r="E114" s="872" t="str">
        <f>IF(AND(H111&gt;0),"yes","no")</f>
        <v>yes</v>
      </c>
      <c r="F114" s="871"/>
      <c r="G114" s="871"/>
      <c r="H114" s="873"/>
      <c r="I114" s="341"/>
    </row>
    <row r="115" spans="1:9">
      <c r="A115" s="836"/>
      <c r="C115" s="341"/>
      <c r="D115" s="341"/>
      <c r="E115" s="341"/>
      <c r="F115" s="341"/>
      <c r="G115" s="341"/>
      <c r="H115" s="828"/>
      <c r="I115" s="341"/>
    </row>
  </sheetData>
  <mergeCells count="8">
    <mergeCell ref="B104:G104"/>
    <mergeCell ref="L6:M6"/>
    <mergeCell ref="A1:I1"/>
    <mergeCell ref="A2:I2"/>
    <mergeCell ref="C6:D6"/>
    <mergeCell ref="F6:G6"/>
    <mergeCell ref="C5:D5"/>
    <mergeCell ref="F5:G5"/>
  </mergeCells>
  <phoneticPr fontId="22" type="noConversion"/>
  <conditionalFormatting sqref="E114">
    <cfRule type="cellIs" dxfId="1" priority="3" operator="equal">
      <formula>"no"</formula>
    </cfRule>
    <cfRule type="cellIs" dxfId="0" priority="4" operator="equal">
      <formula>"yes"</formula>
    </cfRule>
  </conditionalFormatting>
  <printOptions horizontalCentered="1"/>
  <pageMargins left="0.5" right="0.5" top="0.5" bottom="0.25" header="0.1" footer="0.25"/>
  <pageSetup scale="62" fitToHeight="0" orientation="landscape" blackAndWhite="1" r:id="rId1"/>
  <headerFooter alignWithMargins="0"/>
  <rowBreaks count="2" manualBreakCount="2">
    <brk id="38" max="8" man="1"/>
    <brk id="64" max="8" man="1"/>
  </rowBreaks>
  <ignoredErrors>
    <ignoredError sqref="E18 H18 I25 E26 H35 E40:E43 H43 H45 E45 E47 I74 I86 E90:E91 E97" formula="1"/>
    <ignoredError sqref="C55:D55 C103:D103 F103:G103 H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1958CBEF6F441BE45D516C178D1B1" ma:contentTypeVersion="0" ma:contentTypeDescription="Create a new document." ma:contentTypeScope="" ma:versionID="7f7387033dff454bc4befcc900792d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DDC3A8-5034-402A-9D6E-0CD9A3F83D7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68181C-6971-4B99-9136-7917733C8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54227-A069-4231-BF40-78CA2DFA67D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1119DF7-EC10-43CC-8B08-1D0292DD0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Input</vt:lpstr>
      <vt:lpstr>T-1</vt:lpstr>
      <vt:lpstr>T-2</vt:lpstr>
      <vt:lpstr>T-3</vt:lpstr>
      <vt:lpstr>T-4</vt:lpstr>
      <vt:lpstr>T-5</vt:lpstr>
      <vt:lpstr>T-6</vt:lpstr>
      <vt:lpstr>T-7</vt:lpstr>
      <vt:lpstr>T-8</vt:lpstr>
      <vt:lpstr>T-9</vt:lpstr>
      <vt:lpstr>T-10.1</vt:lpstr>
      <vt:lpstr>T-10.2</vt:lpstr>
      <vt:lpstr>T-10.3</vt:lpstr>
      <vt:lpstr>T-10.4</vt:lpstr>
      <vt:lpstr>T-11</vt:lpstr>
      <vt:lpstr>T-12</vt:lpstr>
      <vt:lpstr>'T-10.3'!Print_Area</vt:lpstr>
      <vt:lpstr>'T-10.4'!Print_Area</vt:lpstr>
      <vt:lpstr>'T-12'!Print_Area</vt:lpstr>
      <vt:lpstr>'T-10.4'!Print_Titles</vt:lpstr>
      <vt:lpstr>'T-12'!Print_Titles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Messinger</dc:creator>
  <cp:keywords/>
  <dc:description/>
  <cp:lastModifiedBy>Bonneville Power Administration</cp:lastModifiedBy>
  <cp:lastPrinted>2021-08-10T16:48:58Z</cp:lastPrinted>
  <dcterms:created xsi:type="dcterms:W3CDTF">2005-12-25T16:26:24Z</dcterms:created>
  <dcterms:modified xsi:type="dcterms:W3CDTF">2022-05-10T17:52:49Z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Ron Messinger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display_urn:schemas-microsoft-com:office:office#Editor">
    <vt:lpwstr>Bogdon,David W (BPA) - TSPQ-TPP-2</vt:lpwstr>
  </property>
  <property fmtid="{D5CDD505-2E9C-101B-9397-08002B2CF9AE}" pid="12" name="display_urn:schemas-microsoft-com:office:office#Author">
    <vt:lpwstr>Bogdon,David W (BPA) - TSPQ-TPP-2</vt:lpwstr>
  </property>
  <property fmtid="{D5CDD505-2E9C-101B-9397-08002B2CF9AE}" pid="13" name="Order">
    <vt:r8>21100</vt:r8>
  </property>
  <property fmtid="{D5CDD505-2E9C-101B-9397-08002B2CF9AE}" pid="14" name="TemplateUrl">
    <vt:lpwstr/>
  </property>
  <property fmtid="{D5CDD505-2E9C-101B-9397-08002B2CF9AE}" pid="15" name="xd_ProgID">
    <vt:lpwstr/>
  </property>
  <property fmtid="{D5CDD505-2E9C-101B-9397-08002B2CF9AE}" pid="16" name="SME Draft">
    <vt:lpwstr>Yes</vt:lpwstr>
  </property>
  <property fmtid="{D5CDD505-2E9C-101B-9397-08002B2CF9AE}" pid="17" name="Review Status: TESTIMONY">
    <vt:lpwstr>Yes</vt:lpwstr>
  </property>
  <property fmtid="{D5CDD505-2E9C-101B-9397-08002B2CF9AE}" pid="18" name="Mgmt Review">
    <vt:lpwstr>No</vt:lpwstr>
  </property>
  <property fmtid="{D5CDD505-2E9C-101B-9397-08002B2CF9AE}" pid="19" name="Legal Reviewed">
    <vt:lpwstr>No</vt:lpwstr>
  </property>
  <property fmtid="{D5CDD505-2E9C-101B-9397-08002B2CF9AE}" pid="20" name="Review Status">
    <vt:lpwstr>1900-12-31T16:00:00Z</vt:lpwstr>
  </property>
  <property fmtid="{D5CDD505-2E9C-101B-9397-08002B2CF9AE}" pid="21" name="Posted">
    <vt:lpwstr>No</vt:lpwstr>
  </property>
  <property fmtid="{D5CDD505-2E9C-101B-9397-08002B2CF9AE}" pid="22" name="Review Status: STUDY AND DOCUMENTATION">
    <vt:lpwstr>Yes</vt:lpwstr>
  </property>
  <property fmtid="{D5CDD505-2E9C-101B-9397-08002B2CF9AE}" pid="23" name="Material">
    <vt:lpwstr/>
  </property>
  <property fmtid="{D5CDD505-2E9C-101B-9397-08002B2CF9AE}" pid="24" name="ContentTypeId">
    <vt:lpwstr>0x01010016E1958CBEF6F441BE45D516C178D1B1</vt:lpwstr>
  </property>
  <property fmtid="{D5CDD505-2E9C-101B-9397-08002B2CF9AE}" pid="25" name="Mgmt Reviewed">
    <vt:lpwstr>No</vt:lpwstr>
  </property>
  <property fmtid="{D5CDD505-2E9C-101B-9397-08002B2CF9AE}" pid="26" name="ShowRepairView">
    <vt:lpwstr/>
  </property>
  <property fmtid="{D5CDD505-2E9C-101B-9397-08002B2CF9AE}" pid="27" name="display_urn">
    <vt:lpwstr>Bogdon,David W (BPA) - TSPQ-TPP-2</vt:lpwstr>
  </property>
  <property fmtid="{D5CDD505-2E9C-101B-9397-08002B2CF9AE}" pid="28" name="xd_Signature">
    <vt:bool>false</vt:bool>
  </property>
</Properties>
</file>