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1Projects\Robinson\Residential Exchange Program\"/>
    </mc:Choice>
  </mc:AlternateContent>
  <xr:revisionPtr revIDLastSave="0" documentId="13_ncr:1_{8CD5EBA4-A4F6-404C-A060-20FE0A217273}" xr6:coauthVersionLast="47" xr6:coauthVersionMax="47" xr10:uidLastSave="{00000000-0000-0000-0000-000000000000}"/>
  <bookViews>
    <workbookView xWindow="-120" yWindow="-120" windowWidth="51840" windowHeight="21120" xr2:uid="{D16C33F7-F769-4DFC-89BA-8AFD27C5E544}"/>
  </bookViews>
  <sheets>
    <sheet name="Market Price Calc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58" i="2" l="1"/>
  <c r="F58" i="2" s="1"/>
  <c r="G58" i="2" s="1"/>
  <c r="H58" i="2" s="1"/>
  <c r="C29" i="2"/>
  <c r="H68" i="2" s="1"/>
  <c r="C27" i="2"/>
  <c r="C28" i="2"/>
  <c r="C26" i="2"/>
  <c r="C21" i="2"/>
  <c r="C20" i="2"/>
  <c r="C19" i="2"/>
  <c r="C18" i="2"/>
  <c r="C17" i="2"/>
  <c r="C16" i="2"/>
  <c r="H67" i="2" l="1"/>
  <c r="E68" i="2"/>
  <c r="E67" i="2" s="1"/>
  <c r="F68" i="2"/>
  <c r="F67" i="2" s="1"/>
  <c r="G68" i="2"/>
  <c r="G67" i="2" s="1"/>
  <c r="D68" i="2"/>
  <c r="D67" i="2" s="1"/>
  <c r="D42" i="2"/>
  <c r="E42" i="2" s="1"/>
  <c r="F42" i="2" s="1"/>
  <c r="G42" i="2" s="1"/>
  <c r="H42" i="2" s="1"/>
  <c r="D43" i="2"/>
  <c r="E43" i="2" s="1"/>
  <c r="F43" i="2" s="1"/>
  <c r="G43" i="2" s="1"/>
  <c r="H43" i="2" s="1"/>
  <c r="C65" i="2"/>
  <c r="D61" i="2"/>
  <c r="E61" i="2" s="1"/>
  <c r="F61" i="2" s="1"/>
  <c r="G61" i="2" s="1"/>
  <c r="H61" i="2" s="1"/>
  <c r="D45" i="2"/>
  <c r="E45" i="2" s="1"/>
  <c r="F45" i="2" s="1"/>
  <c r="G45" i="2" s="1"/>
  <c r="H45" i="2" s="1"/>
  <c r="E41" i="2"/>
  <c r="F41" i="2" s="1"/>
  <c r="G41" i="2" s="1"/>
  <c r="H41" i="2" s="1"/>
  <c r="H21" i="2"/>
  <c r="H20" i="2"/>
  <c r="H19" i="2"/>
  <c r="H18" i="2"/>
  <c r="H17" i="2"/>
  <c r="H16" i="2"/>
  <c r="C68" i="2" l="1"/>
  <c r="C49" i="2"/>
  <c r="D49" i="2" s="1"/>
  <c r="D47" i="2" s="1"/>
  <c r="C63" i="2"/>
  <c r="C67" i="2" l="1"/>
  <c r="C70" i="2" s="1"/>
  <c r="F52" i="2"/>
  <c r="F51" i="2" s="1"/>
  <c r="E52" i="2"/>
  <c r="E51" i="2" s="1"/>
  <c r="H52" i="2"/>
  <c r="H51" i="2" s="1"/>
  <c r="C52" i="2"/>
  <c r="C51" i="2" s="1"/>
  <c r="G52" i="2"/>
  <c r="G51" i="2" s="1"/>
  <c r="D52" i="2"/>
  <c r="D51" i="2" s="1"/>
  <c r="D54" i="2" s="1"/>
  <c r="C47" i="2"/>
  <c r="D48" i="2"/>
  <c r="E49" i="2"/>
  <c r="D65" i="2"/>
  <c r="D64" i="2" s="1"/>
  <c r="D63" i="2" s="1"/>
  <c r="C54" i="2" l="1"/>
  <c r="D70" i="2"/>
  <c r="E48" i="2"/>
  <c r="E65" i="2"/>
  <c r="E64" i="2" s="1"/>
  <c r="E63" i="2" s="1"/>
  <c r="E70" i="2" s="1"/>
  <c r="F49" i="2"/>
  <c r="E47" i="2"/>
  <c r="E54" i="2" s="1"/>
  <c r="F48" i="2" l="1"/>
  <c r="F65" i="2"/>
  <c r="F64" i="2" s="1"/>
  <c r="F63" i="2" s="1"/>
  <c r="F70" i="2" s="1"/>
  <c r="F47" i="2"/>
  <c r="F54" i="2" s="1"/>
  <c r="G49" i="2"/>
  <c r="G47" i="2" l="1"/>
  <c r="G54" i="2" s="1"/>
  <c r="G48" i="2"/>
  <c r="H49" i="2"/>
  <c r="G65" i="2"/>
  <c r="G64" i="2" s="1"/>
  <c r="G63" i="2" s="1"/>
  <c r="G70" i="2" s="1"/>
  <c r="H47" i="2" l="1"/>
  <c r="H54" i="2" s="1"/>
  <c r="H65" i="2"/>
  <c r="H64" i="2" s="1"/>
  <c r="H63" i="2" s="1"/>
  <c r="H70" i="2" s="1"/>
  <c r="H48" i="2"/>
</calcChain>
</file>

<file path=xl/sharedStrings.xml><?xml version="1.0" encoding="utf-8"?>
<sst xmlns="http://schemas.openxmlformats.org/spreadsheetml/2006/main" count="58" uniqueCount="48">
  <si>
    <t>Assumptions</t>
  </si>
  <si>
    <t>IOU</t>
  </si>
  <si>
    <t>Avista</t>
  </si>
  <si>
    <t>*GDP deflator is averaging the 2026-2028 values</t>
  </si>
  <si>
    <t>Idaho</t>
  </si>
  <si>
    <t>Northwestern</t>
  </si>
  <si>
    <t>PAC</t>
  </si>
  <si>
    <t>PGE</t>
  </si>
  <si>
    <t>Puget</t>
  </si>
  <si>
    <t>Variables</t>
  </si>
  <si>
    <t>Purchase  ($)</t>
  </si>
  <si>
    <t>Purchases (MWh)</t>
  </si>
  <si>
    <t>Sales ($)</t>
  </si>
  <si>
    <t>Sales (MWh)</t>
  </si>
  <si>
    <t>Future Purchase ($)</t>
  </si>
  <si>
    <t>Future Sale ($)</t>
  </si>
  <si>
    <t>$</t>
  </si>
  <si>
    <t>Cum Growth MWH</t>
  </si>
  <si>
    <t>MWH</t>
  </si>
  <si>
    <t>Sales</t>
  </si>
  <si>
    <t>Firm</t>
  </si>
  <si>
    <t>Spot</t>
  </si>
  <si>
    <t>Net Purchase &amp; Sales(millions)</t>
  </si>
  <si>
    <t>Purchases($)</t>
  </si>
  <si>
    <t>Escalation (BP-26)</t>
  </si>
  <si>
    <t>Input-Load Growth (%)</t>
  </si>
  <si>
    <t>Actuals BP-26 CY 2023 Base</t>
  </si>
  <si>
    <t>Base (actuals)</t>
  </si>
  <si>
    <t>Historic P&amp;S at Rate Case Firm &amp; Spot (load growth is at forecast $)</t>
  </si>
  <si>
    <t>BASE / No Transmission (565 &amp; 925 in) for reference only</t>
  </si>
  <si>
    <t>A - Status Quo</t>
  </si>
  <si>
    <t>Status Quo (Base)</t>
  </si>
  <si>
    <t>B - Firm &amp; Spot Price</t>
  </si>
  <si>
    <t>*This calculator assumes Sales do not increase, and does not use a utility specific load forecast</t>
  </si>
  <si>
    <t>*GDP deflator is applied to ASCs in the ASC model, but wanted to show a longer time horizon</t>
  </si>
  <si>
    <t>*Short-Term Power Purchase &amp; Sales for Resale (MWh) are base year quantities are from BP-26 CY 2023 Base</t>
  </si>
  <si>
    <t>*This calculator is highlighting the year 2027 (rather than a midpoint average, which would be the average of the beginning and end of BP-26)</t>
  </si>
  <si>
    <t>*blue cells are change-able inputs</t>
  </si>
  <si>
    <t>Avg Purchase Price</t>
  </si>
  <si>
    <t>Avg Sale Price</t>
  </si>
  <si>
    <t>Purchase MWh</t>
  </si>
  <si>
    <t>Sale MWh</t>
  </si>
  <si>
    <t>IOU Numerical Designation from cells A15-A20</t>
  </si>
  <si>
    <t>Price % Spread</t>
  </si>
  <si>
    <t>*Price % Spreads are the weighted average of the base year and the prior two years (cells C15-20)</t>
  </si>
  <si>
    <t>* Negative spreads indicate a where power purchase price is below the power sale price (cells C15-C20)</t>
  </si>
  <si>
    <t>Net Buyer or Seller?</t>
  </si>
  <si>
    <t>*lower net values reduce ASCs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</si>
</sst>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0">
    <xf numFmtId="0" fontId="0" fillId="0" borderId="0" xfId="0"/>
    <xf numFmtId="164" fontId="0" fillId="0" borderId="0" xfId="0" applyNumberFormat="1"/>
    <xf numFmtId="9" fontId="0" fillId="0" borderId="0" xfId="2" applyFont="1"/>
    <xf numFmtId="0" fontId="5" fillId="0" borderId="0" xfId="0" applyFont="1"/>
    <xf numFmtId="0" fontId="0" fillId="0" borderId="1" xfId="0" applyBorder="1"/>
    <xf numFmtId="0" fontId="0" fillId="4" borderId="1" xfId="0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37" fontId="0" fillId="4" borderId="1" xfId="1" applyNumberFormat="1" applyFont="1" applyFill="1" applyBorder="1" applyAlignment="1">
      <alignment horizontal="center"/>
    </xf>
    <xf numFmtId="37" fontId="0" fillId="0" borderId="1" xfId="0" applyNumberForma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9" fontId="3" fillId="0" borderId="3" xfId="2" applyFont="1" applyBorder="1" applyAlignment="1">
      <alignment horizontal="center"/>
    </xf>
    <xf numFmtId="37" fontId="0" fillId="4" borderId="1" xfId="0" applyNumberFormat="1" applyFill="1" applyBorder="1" applyAlignment="1">
      <alignment horizontal="center"/>
    </xf>
    <xf numFmtId="37" fontId="0" fillId="4" borderId="3" xfId="0" applyNumberFormat="1" applyFill="1" applyBorder="1" applyAlignment="1">
      <alignment horizontal="center"/>
    </xf>
    <xf numFmtId="37" fontId="0" fillId="4" borderId="2" xfId="0" applyNumberFormat="1" applyFill="1" applyBorder="1" applyAlignment="1">
      <alignment horizontal="center"/>
    </xf>
    <xf numFmtId="37" fontId="0" fillId="0" borderId="3" xfId="0" applyNumberFormat="1" applyBorder="1" applyAlignment="1">
      <alignment horizontal="center"/>
    </xf>
    <xf numFmtId="37" fontId="0" fillId="0" borderId="2" xfId="0" applyNumberFormat="1" applyBorder="1" applyAlignment="1">
      <alignment horizontal="center"/>
    </xf>
    <xf numFmtId="37" fontId="0" fillId="0" borderId="1" xfId="1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37" fontId="0" fillId="0" borderId="4" xfId="0" applyNumberFormat="1" applyBorder="1" applyAlignment="1">
      <alignment horizontal="center"/>
    </xf>
    <xf numFmtId="0" fontId="0" fillId="0" borderId="5" xfId="0" applyBorder="1"/>
    <xf numFmtId="37" fontId="0" fillId="0" borderId="6" xfId="0" applyNumberFormat="1" applyBorder="1" applyAlignment="1">
      <alignment horizontal="center"/>
    </xf>
    <xf numFmtId="37" fontId="0" fillId="0" borderId="7" xfId="0" applyNumberFormat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37" fontId="0" fillId="4" borderId="4" xfId="0" applyNumberFormat="1" applyFill="1" applyBorder="1" applyAlignment="1">
      <alignment horizontal="center"/>
    </xf>
    <xf numFmtId="37" fontId="0" fillId="4" borderId="6" xfId="0" applyNumberForma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37" fontId="0" fillId="5" borderId="1" xfId="0" applyNumberFormat="1" applyFill="1" applyBorder="1" applyAlignment="1">
      <alignment horizontal="center"/>
    </xf>
    <xf numFmtId="37" fontId="0" fillId="5" borderId="3" xfId="0" applyNumberFormat="1" applyFill="1" applyBorder="1" applyAlignment="1">
      <alignment horizontal="center"/>
    </xf>
    <xf numFmtId="37" fontId="0" fillId="5" borderId="2" xfId="0" applyNumberFormat="1" applyFill="1" applyBorder="1" applyAlignment="1">
      <alignment horizontal="center"/>
    </xf>
    <xf numFmtId="37" fontId="0" fillId="5" borderId="1" xfId="1" applyNumberFormat="1" applyFont="1" applyFill="1" applyBorder="1" applyAlignment="1">
      <alignment horizontal="center"/>
    </xf>
    <xf numFmtId="37" fontId="0" fillId="5" borderId="4" xfId="0" applyNumberFormat="1" applyFill="1" applyBorder="1" applyAlignment="1">
      <alignment horizontal="center"/>
    </xf>
    <xf numFmtId="37" fontId="0" fillId="5" borderId="6" xfId="0" applyNumberFormat="1" applyFill="1" applyBorder="1" applyAlignment="1">
      <alignment horizontal="center"/>
    </xf>
    <xf numFmtId="37" fontId="0" fillId="0" borderId="1" xfId="1" applyNumberFormat="1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1" xfId="0" applyBorder="1"/>
    <xf numFmtId="0" fontId="0" fillId="0" borderId="8" xfId="0" applyBorder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3" xfId="0" applyBorder="1"/>
    <xf numFmtId="0" fontId="0" fillId="0" borderId="17" xfId="0" applyBorder="1"/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21" xfId="0" applyBorder="1"/>
    <xf numFmtId="0" fontId="0" fillId="0" borderId="0" xfId="0" applyBorder="1"/>
    <xf numFmtId="0" fontId="0" fillId="0" borderId="22" xfId="0" applyBorder="1"/>
    <xf numFmtId="0" fontId="0" fillId="0" borderId="12" xfId="0" applyBorder="1"/>
    <xf numFmtId="37" fontId="0" fillId="0" borderId="13" xfId="0" applyNumberFormat="1" applyBorder="1" applyAlignment="1">
      <alignment horizontal="center"/>
    </xf>
    <xf numFmtId="0" fontId="0" fillId="0" borderId="16" xfId="0" applyBorder="1"/>
    <xf numFmtId="0" fontId="0" fillId="4" borderId="3" xfId="0" applyFill="1" applyBorder="1" applyAlignment="1">
      <alignment horizontal="center"/>
    </xf>
    <xf numFmtId="37" fontId="0" fillId="4" borderId="3" xfId="1" applyNumberFormat="1" applyFont="1" applyFill="1" applyBorder="1" applyAlignment="1">
      <alignment horizontal="center"/>
    </xf>
    <xf numFmtId="37" fontId="0" fillId="0" borderId="17" xfId="0" applyNumberFormat="1" applyBorder="1" applyAlignment="1">
      <alignment horizontal="center"/>
    </xf>
    <xf numFmtId="0" fontId="0" fillId="3" borderId="12" xfId="0" applyFill="1" applyBorder="1" applyAlignment="1">
      <alignment horizontal="left" wrapText="1"/>
    </xf>
    <xf numFmtId="0" fontId="0" fillId="3" borderId="13" xfId="0" applyFill="1" applyBorder="1" applyAlignment="1">
      <alignment horizontal="center" vertical="center"/>
    </xf>
    <xf numFmtId="43" fontId="3" fillId="0" borderId="13" xfId="0" applyNumberFormat="1" applyFont="1" applyBorder="1"/>
    <xf numFmtId="164" fontId="3" fillId="0" borderId="13" xfId="0" applyNumberFormat="1" applyFont="1" applyBorder="1"/>
    <xf numFmtId="0" fontId="0" fillId="3" borderId="16" xfId="0" applyFill="1" applyBorder="1" applyAlignment="1">
      <alignment horizontal="left"/>
    </xf>
    <xf numFmtId="10" fontId="0" fillId="3" borderId="17" xfId="2" applyNumberFormat="1" applyFont="1" applyFill="1" applyBorder="1" applyAlignment="1">
      <alignment horizontal="center"/>
    </xf>
    <xf numFmtId="0" fontId="2" fillId="2" borderId="9" xfId="0" applyFont="1" applyFill="1" applyBorder="1"/>
    <xf numFmtId="0" fontId="0" fillId="0" borderId="23" xfId="0" applyBorder="1"/>
    <xf numFmtId="2" fontId="4" fillId="0" borderId="13" xfId="0" applyNumberFormat="1" applyFont="1" applyBorder="1" applyAlignment="1">
      <alignment horizontal="center"/>
    </xf>
    <xf numFmtId="9" fontId="3" fillId="0" borderId="17" xfId="2" applyFont="1" applyBorder="1" applyAlignment="1">
      <alignment horizontal="center"/>
    </xf>
    <xf numFmtId="0" fontId="0" fillId="0" borderId="24" xfId="0" applyBorder="1"/>
    <xf numFmtId="0" fontId="2" fillId="0" borderId="25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16" xfId="0" applyBorder="1" applyAlignment="1">
      <alignment horizontal="right"/>
    </xf>
    <xf numFmtId="37" fontId="0" fillId="0" borderId="25" xfId="0" applyNumberFormat="1" applyBorder="1" applyAlignment="1">
      <alignment horizontal="center"/>
    </xf>
    <xf numFmtId="37" fontId="0" fillId="0" borderId="13" xfId="1" applyNumberFormat="1" applyFont="1" applyBorder="1" applyAlignment="1">
      <alignment horizontal="center"/>
    </xf>
    <xf numFmtId="0" fontId="2" fillId="0" borderId="23" xfId="0" applyFont="1" applyBorder="1"/>
    <xf numFmtId="37" fontId="0" fillId="0" borderId="26" xfId="0" applyNumberForma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37" fontId="0" fillId="0" borderId="13" xfId="1" applyNumberFormat="1" applyFont="1" applyFill="1" applyBorder="1" applyAlignment="1">
      <alignment horizontal="center"/>
    </xf>
    <xf numFmtId="0" fontId="0" fillId="0" borderId="23" xfId="0" applyBorder="1" applyAlignment="1">
      <alignment horizontal="right"/>
    </xf>
    <xf numFmtId="0" fontId="6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Market Price Option Comparison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'Market Price Calc'!$B$40</c:f>
              <c:strCache>
                <c:ptCount val="1"/>
                <c:pt idx="0">
                  <c:v>A - Status Quo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'Market Price Calc'!$C$45:$H$45</c:f>
              <c:numCache>
                <c:formatCode>General</c:formatCode>
                <c:ptCount val="6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</c:numCache>
            </c:numRef>
          </c:cat>
          <c:val>
            <c:numRef>
              <c:f>'Market Price Calc'!$C$54:$H$54</c:f>
              <c:numCache>
                <c:formatCode>#,##0_);\(#,##0\)</c:formatCode>
                <c:ptCount val="6"/>
                <c:pt idx="0">
                  <c:v>-135.71630672000001</c:v>
                </c:pt>
                <c:pt idx="1">
                  <c:v>-91.254572788345556</c:v>
                </c:pt>
                <c:pt idx="2">
                  <c:v>-50.611190057584821</c:v>
                </c:pt>
                <c:pt idx="3">
                  <c:v>-57.266223432178343</c:v>
                </c:pt>
                <c:pt idx="4">
                  <c:v>-52.075934969476243</c:v>
                </c:pt>
                <c:pt idx="5">
                  <c:v>-52.437129149970666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9A-44FC-AE85-1D78EECACBE8}"/>
            </c:ext>
          </c:extLst>
        </c:ser>
        <c:ser>
          <c:idx val="1"/>
          <c:order val="1"/>
          <c:tx>
            <c:strRef>
              <c:f>'Market Price Calc'!$B$57</c:f>
              <c:strCache>
                <c:ptCount val="1"/>
                <c:pt idx="0">
                  <c:v>B - Firm &amp; Spot Price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'Market Price Calc'!$C$45:$H$45</c:f>
              <c:numCache>
                <c:formatCode>General</c:formatCode>
                <c:ptCount val="6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</c:numCache>
            </c:numRef>
          </c:cat>
          <c:val>
            <c:numRef>
              <c:f>'Market Price Calc'!$C$70:$H$70</c:f>
              <c:numCache>
                <c:formatCode>#,##0_);\(#,##0\)</c:formatCode>
                <c:ptCount val="6"/>
                <c:pt idx="0">
                  <c:v>-135.71630672000001</c:v>
                </c:pt>
                <c:pt idx="1">
                  <c:v>-135.17693392000001</c:v>
                </c:pt>
                <c:pt idx="2">
                  <c:v>-134.57229701120002</c:v>
                </c:pt>
                <c:pt idx="3">
                  <c:v>-133.81800572531199</c:v>
                </c:pt>
                <c:pt idx="4">
                  <c:v>-132.93745266067199</c:v>
                </c:pt>
                <c:pt idx="5">
                  <c:v>-131.5059301513825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9A-44FC-AE85-1D78EECAC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0541272"/>
        <c:axId val="570545592"/>
      </c:lineChart>
      <c:catAx>
        <c:axId val="5705412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Calendar Year</a:t>
                </a:r>
              </a:p>
            </c:rich>
          </c:tx>
          <c:layout>
            <c:manualLayout>
              <c:xMode val="edge"/>
              <c:yMode val="edge"/>
              <c:x val="0.45663545774926978"/>
              <c:y val="0.817889016889115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0545592"/>
        <c:crosses val="autoZero"/>
        <c:auto val="1"/>
        <c:lblAlgn val="ctr"/>
        <c:lblOffset val="100"/>
        <c:noMultiLvlLbl val="0"/>
      </c:catAx>
      <c:valAx>
        <c:axId val="570545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Net Purchase &amp; Sales (Rows</a:t>
                </a:r>
                <a:r>
                  <a:rPr lang="en-US" baseline="0"/>
                  <a:t> 54 &amp; 70)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_);\(&quot;$&quot;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0541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972200349956258"/>
          <c:y val="0.88655056009337885"/>
          <c:w val="0.55905271216097985"/>
          <c:h val="8.52011682645460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687457</xdr:colOff>
      <xdr:row>21</xdr:row>
      <xdr:rowOff>124239</xdr:rowOff>
    </xdr:from>
    <xdr:to>
      <xdr:col>7</xdr:col>
      <xdr:colOff>836536</xdr:colOff>
      <xdr:row>38</xdr:row>
      <xdr:rowOff>99391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98C1A0A-865F-80C2-72AB-D8DC721B25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4B4E3-46FF-4187-A830-0392E65E123F}">
  <sheetPr>
    <tabColor theme="7" tint="0.39997558519241921"/>
  </sheetPr>
  <dimension ref="A2:O71"/>
  <sheetViews>
    <sheetView showGridLines="0" tabSelected="1" zoomScale="205" zoomScaleNormal="205" workbookViewId="0"/>
  </sheetViews>
  <sheetFormatPr defaultRowHeight="15" x14ac:dyDescent="0.25"/>
  <cols>
    <col min="1" max="1" width="19.140625" customWidth="1"/>
    <col min="2" max="2" width="27.42578125" customWidth="1"/>
    <col min="3" max="8" width="18.7109375" customWidth="1"/>
    <col min="9" max="16" width="17.140625" customWidth="1"/>
  </cols>
  <sheetData>
    <row r="2" spans="1:8" ht="15.75" thickBot="1" x14ac:dyDescent="0.3"/>
    <row r="3" spans="1:8" x14ac:dyDescent="0.25">
      <c r="B3" s="42" t="s">
        <v>0</v>
      </c>
      <c r="C3" s="43"/>
      <c r="D3" s="43"/>
      <c r="E3" s="43"/>
      <c r="F3" s="43"/>
      <c r="G3" s="43"/>
      <c r="H3" s="44"/>
    </row>
    <row r="4" spans="1:8" x14ac:dyDescent="0.25">
      <c r="B4" s="45" t="s">
        <v>36</v>
      </c>
      <c r="C4" s="40"/>
      <c r="D4" s="40"/>
      <c r="E4" s="40"/>
      <c r="F4" s="40"/>
      <c r="G4" s="40"/>
      <c r="H4" s="46"/>
    </row>
    <row r="5" spans="1:8" x14ac:dyDescent="0.25">
      <c r="B5" s="45" t="s">
        <v>3</v>
      </c>
      <c r="C5" s="40"/>
      <c r="D5" s="40"/>
      <c r="E5" s="40"/>
      <c r="F5" s="40"/>
      <c r="G5" s="40"/>
      <c r="H5" s="46"/>
    </row>
    <row r="6" spans="1:8" x14ac:dyDescent="0.25">
      <c r="B6" s="45" t="s">
        <v>33</v>
      </c>
      <c r="C6" s="40"/>
      <c r="D6" s="40"/>
      <c r="E6" s="40"/>
      <c r="F6" s="40"/>
      <c r="G6" s="40"/>
      <c r="H6" s="46"/>
    </row>
    <row r="7" spans="1:8" x14ac:dyDescent="0.25">
      <c r="B7" s="45" t="s">
        <v>34</v>
      </c>
      <c r="C7" s="40"/>
      <c r="D7" s="40"/>
      <c r="E7" s="40"/>
      <c r="F7" s="40"/>
      <c r="G7" s="40"/>
      <c r="H7" s="46"/>
    </row>
    <row r="8" spans="1:8" x14ac:dyDescent="0.25">
      <c r="B8" s="45" t="s">
        <v>35</v>
      </c>
      <c r="C8" s="40"/>
      <c r="D8" s="40"/>
      <c r="E8" s="40"/>
      <c r="F8" s="40"/>
      <c r="G8" s="40"/>
      <c r="H8" s="46"/>
    </row>
    <row r="9" spans="1:8" x14ac:dyDescent="0.25">
      <c r="B9" s="47" t="s">
        <v>44</v>
      </c>
      <c r="C9" s="41"/>
      <c r="D9" s="41"/>
      <c r="E9" s="41"/>
      <c r="F9" s="41"/>
      <c r="G9" s="41"/>
      <c r="H9" s="48"/>
    </row>
    <row r="10" spans="1:8" ht="15.75" thickBot="1" x14ac:dyDescent="0.3">
      <c r="B10" s="49" t="s">
        <v>45</v>
      </c>
      <c r="C10" s="50"/>
      <c r="D10" s="50"/>
      <c r="E10" s="50"/>
      <c r="F10" s="50"/>
      <c r="G10" s="50"/>
      <c r="H10" s="51"/>
    </row>
    <row r="12" spans="1:8" ht="15.75" thickBot="1" x14ac:dyDescent="0.3"/>
    <row r="13" spans="1:8" x14ac:dyDescent="0.25">
      <c r="B13" s="52" t="s">
        <v>29</v>
      </c>
      <c r="C13" s="53"/>
      <c r="D13" s="53"/>
      <c r="E13" s="53"/>
      <c r="F13" s="53"/>
      <c r="G13" s="53"/>
      <c r="H13" s="54"/>
    </row>
    <row r="14" spans="1:8" x14ac:dyDescent="0.25">
      <c r="B14" s="55" t="s">
        <v>1</v>
      </c>
      <c r="C14" s="7" t="s">
        <v>43</v>
      </c>
      <c r="D14" s="7" t="s">
        <v>38</v>
      </c>
      <c r="E14" s="7" t="s">
        <v>39</v>
      </c>
      <c r="F14" s="7" t="s">
        <v>40</v>
      </c>
      <c r="G14" s="7" t="s">
        <v>41</v>
      </c>
      <c r="H14" s="56" t="s">
        <v>46</v>
      </c>
    </row>
    <row r="15" spans="1:8" x14ac:dyDescent="0.25">
      <c r="B15" s="57"/>
      <c r="C15" s="58"/>
      <c r="D15" s="39" t="s">
        <v>26</v>
      </c>
      <c r="E15" s="39"/>
      <c r="F15" s="39"/>
      <c r="G15" s="39"/>
      <c r="H15" s="59"/>
    </row>
    <row r="16" spans="1:8" x14ac:dyDescent="0.25">
      <c r="A16">
        <v>1</v>
      </c>
      <c r="B16" s="60" t="s">
        <v>2</v>
      </c>
      <c r="C16" s="8" t="str">
        <f>"+19.41"</f>
        <v>+19.41</v>
      </c>
      <c r="D16" s="5">
        <v>115.58</v>
      </c>
      <c r="E16" s="6">
        <v>85.6</v>
      </c>
      <c r="F16" s="9">
        <v>674216</v>
      </c>
      <c r="G16" s="9">
        <v>2495820</v>
      </c>
      <c r="H16" s="61">
        <f t="shared" ref="H16:H21" si="0">G16-F16</f>
        <v>1821604</v>
      </c>
    </row>
    <row r="17" spans="1:8" x14ac:dyDescent="0.25">
      <c r="A17">
        <v>2</v>
      </c>
      <c r="B17" s="60" t="s">
        <v>4</v>
      </c>
      <c r="C17" s="8" t="str">
        <f>"-12.85"</f>
        <v>-12.85</v>
      </c>
      <c r="D17" s="5">
        <v>70.760000000000005</v>
      </c>
      <c r="E17" s="5">
        <v>80.11</v>
      </c>
      <c r="F17" s="9">
        <v>3294988</v>
      </c>
      <c r="G17" s="9">
        <v>2095145</v>
      </c>
      <c r="H17" s="61">
        <f t="shared" si="0"/>
        <v>-1199843</v>
      </c>
    </row>
    <row r="18" spans="1:8" x14ac:dyDescent="0.25">
      <c r="A18">
        <v>3</v>
      </c>
      <c r="B18" s="60" t="s">
        <v>5</v>
      </c>
      <c r="C18" s="8" t="str">
        <f>"+22.07"</f>
        <v>+22.07</v>
      </c>
      <c r="D18" s="5">
        <v>110.45</v>
      </c>
      <c r="E18" s="5">
        <v>71.849999999999994</v>
      </c>
      <c r="F18" s="9">
        <v>1441697</v>
      </c>
      <c r="G18" s="9">
        <v>1189930</v>
      </c>
      <c r="H18" s="61">
        <f t="shared" si="0"/>
        <v>-251767</v>
      </c>
    </row>
    <row r="19" spans="1:8" x14ac:dyDescent="0.25">
      <c r="A19">
        <v>4</v>
      </c>
      <c r="B19" s="60" t="s">
        <v>6</v>
      </c>
      <c r="C19" s="8" t="str">
        <f>"+9.05"</f>
        <v>+9.05</v>
      </c>
      <c r="D19" s="5">
        <v>111.65</v>
      </c>
      <c r="E19" s="5">
        <v>75.97</v>
      </c>
      <c r="F19" s="9">
        <v>9164293</v>
      </c>
      <c r="G19" s="9">
        <v>2352267</v>
      </c>
      <c r="H19" s="61">
        <f t="shared" si="0"/>
        <v>-6812026</v>
      </c>
    </row>
    <row r="20" spans="1:8" x14ac:dyDescent="0.25">
      <c r="A20">
        <v>5</v>
      </c>
      <c r="B20" s="60" t="s">
        <v>7</v>
      </c>
      <c r="C20" s="8" t="str">
        <f>"-3.34"</f>
        <v>-3.34</v>
      </c>
      <c r="D20" s="5">
        <v>68.180000000000007</v>
      </c>
      <c r="E20" s="6">
        <v>70.3</v>
      </c>
      <c r="F20" s="9">
        <v>5917877</v>
      </c>
      <c r="G20" s="9">
        <v>6646537</v>
      </c>
      <c r="H20" s="61">
        <f t="shared" si="0"/>
        <v>728660</v>
      </c>
    </row>
    <row r="21" spans="1:8" ht="15.75" thickBot="1" x14ac:dyDescent="0.3">
      <c r="A21">
        <v>6</v>
      </c>
      <c r="B21" s="62" t="s">
        <v>8</v>
      </c>
      <c r="C21" s="12" t="str">
        <f>"-8.24"</f>
        <v>-8.24</v>
      </c>
      <c r="D21" s="63">
        <v>53.88</v>
      </c>
      <c r="E21" s="63">
        <v>70.98</v>
      </c>
      <c r="F21" s="64">
        <v>4250173</v>
      </c>
      <c r="G21" s="64">
        <v>9027709</v>
      </c>
      <c r="H21" s="65">
        <f t="shared" si="0"/>
        <v>4777536</v>
      </c>
    </row>
    <row r="23" spans="1:8" ht="15.75" thickBot="1" x14ac:dyDescent="0.3"/>
    <row r="24" spans="1:8" x14ac:dyDescent="0.25">
      <c r="B24" s="52" t="s">
        <v>9</v>
      </c>
      <c r="C24" s="54"/>
    </row>
    <row r="25" spans="1:8" ht="30" x14ac:dyDescent="0.25">
      <c r="B25" s="66" t="s">
        <v>42</v>
      </c>
      <c r="C25" s="67">
        <v>1</v>
      </c>
    </row>
    <row r="26" spans="1:8" x14ac:dyDescent="0.25">
      <c r="B26" s="60" t="s">
        <v>10</v>
      </c>
      <c r="C26" s="68">
        <f>VLOOKUP($C$25,$A$16:$H$21,4,0)</f>
        <v>115.58</v>
      </c>
    </row>
    <row r="27" spans="1:8" x14ac:dyDescent="0.25">
      <c r="B27" s="60" t="s">
        <v>11</v>
      </c>
      <c r="C27" s="69">
        <f>VLOOKUP($C$25,$A$16:$H$21,6,0)</f>
        <v>674216</v>
      </c>
    </row>
    <row r="28" spans="1:8" x14ac:dyDescent="0.25">
      <c r="B28" s="60" t="s">
        <v>12</v>
      </c>
      <c r="C28" s="68">
        <f>VLOOKUP($C$25,$A$16:$H$21,5,0)</f>
        <v>85.6</v>
      </c>
    </row>
    <row r="29" spans="1:8" x14ac:dyDescent="0.25">
      <c r="B29" s="60" t="s">
        <v>13</v>
      </c>
      <c r="C29" s="68">
        <f>VLOOKUP($C$25,$A$16:$H$21,7,0)</f>
        <v>2495820</v>
      </c>
    </row>
    <row r="30" spans="1:8" ht="15.75" thickBot="1" x14ac:dyDescent="0.3">
      <c r="B30" s="70" t="s">
        <v>25</v>
      </c>
      <c r="C30" s="71">
        <v>0.02</v>
      </c>
    </row>
    <row r="31" spans="1:8" x14ac:dyDescent="0.25">
      <c r="B31" s="89" t="s">
        <v>37</v>
      </c>
      <c r="C31" s="2"/>
    </row>
    <row r="32" spans="1:8" x14ac:dyDescent="0.25">
      <c r="C32" s="2"/>
    </row>
    <row r="33" spans="2:8" x14ac:dyDescent="0.25">
      <c r="C33" s="2"/>
    </row>
    <row r="34" spans="2:8" x14ac:dyDescent="0.25">
      <c r="C34" s="2"/>
    </row>
    <row r="35" spans="2:8" x14ac:dyDescent="0.25">
      <c r="C35" s="2"/>
    </row>
    <row r="36" spans="2:8" x14ac:dyDescent="0.25">
      <c r="C36" s="2"/>
    </row>
    <row r="37" spans="2:8" x14ac:dyDescent="0.25">
      <c r="C37" s="2"/>
    </row>
    <row r="38" spans="2:8" x14ac:dyDescent="0.25">
      <c r="C38" s="2"/>
    </row>
    <row r="39" spans="2:8" ht="15.75" thickBot="1" x14ac:dyDescent="0.3">
      <c r="C39" s="2"/>
    </row>
    <row r="40" spans="2:8" x14ac:dyDescent="0.25">
      <c r="B40" s="72" t="s">
        <v>30</v>
      </c>
      <c r="C40" s="43" t="s">
        <v>31</v>
      </c>
      <c r="D40" s="43"/>
      <c r="E40" s="43"/>
      <c r="F40" s="43"/>
      <c r="G40" s="43"/>
      <c r="H40" s="44"/>
    </row>
    <row r="41" spans="2:8" x14ac:dyDescent="0.25">
      <c r="B41" s="73"/>
      <c r="C41" s="4"/>
      <c r="D41" s="7">
        <v>2024</v>
      </c>
      <c r="E41" s="7">
        <f t="shared" ref="E41:H41" si="1">D41+1</f>
        <v>2025</v>
      </c>
      <c r="F41" s="7">
        <f t="shared" si="1"/>
        <v>2026</v>
      </c>
      <c r="G41" s="7">
        <f t="shared" si="1"/>
        <v>2027</v>
      </c>
      <c r="H41" s="56">
        <f t="shared" si="1"/>
        <v>2028</v>
      </c>
    </row>
    <row r="42" spans="2:8" x14ac:dyDescent="0.25">
      <c r="B42" s="60" t="s">
        <v>14</v>
      </c>
      <c r="C42" s="8"/>
      <c r="D42" s="11">
        <f>C26*D44</f>
        <v>78.617899119855679</v>
      </c>
      <c r="E42" s="11">
        <f>D42*E44</f>
        <v>44.125557390726087</v>
      </c>
      <c r="F42" s="11">
        <f t="shared" ref="F42:H42" si="2">E42*F44</f>
        <v>50.546017515190975</v>
      </c>
      <c r="G42" s="11">
        <f t="shared" si="2"/>
        <v>46.552792279931815</v>
      </c>
      <c r="H42" s="74">
        <f t="shared" si="2"/>
        <v>47.495390352564016</v>
      </c>
    </row>
    <row r="43" spans="2:8" x14ac:dyDescent="0.25">
      <c r="B43" s="60" t="s">
        <v>15</v>
      </c>
      <c r="C43" s="8"/>
      <c r="D43" s="11">
        <f>D44*C28</f>
        <v>58.225403743378138</v>
      </c>
      <c r="E43" s="11">
        <f>D43*E44</f>
        <v>32.679942140908054</v>
      </c>
      <c r="F43" s="11">
        <f t="shared" ref="F43:G43" si="3">E43*F44</f>
        <v>37.435015567575249</v>
      </c>
      <c r="G43" s="11">
        <f t="shared" si="3"/>
        <v>34.477582792543373</v>
      </c>
      <c r="H43" s="74">
        <f>G43*H44</f>
        <v>35.175682766737147</v>
      </c>
    </row>
    <row r="44" spans="2:8" ht="15.75" thickBot="1" x14ac:dyDescent="0.3">
      <c r="B44" s="62" t="s">
        <v>24</v>
      </c>
      <c r="C44" s="12"/>
      <c r="D44" s="13">
        <v>0.68020331475909046</v>
      </c>
      <c r="E44" s="13">
        <v>0.56126604608773845</v>
      </c>
      <c r="F44" s="13">
        <v>1.1455043404350125</v>
      </c>
      <c r="G44" s="13">
        <v>0.92099822238104034</v>
      </c>
      <c r="H44" s="75">
        <v>1.0202479384472614</v>
      </c>
    </row>
    <row r="45" spans="2:8" x14ac:dyDescent="0.25">
      <c r="B45" s="76"/>
      <c r="C45" s="27">
        <v>2023</v>
      </c>
      <c r="D45" s="20">
        <f>C45+1</f>
        <v>2024</v>
      </c>
      <c r="E45" s="20">
        <f t="shared" ref="E45:H45" si="4">D45+1</f>
        <v>2025</v>
      </c>
      <c r="F45" s="20">
        <f t="shared" si="4"/>
        <v>2026</v>
      </c>
      <c r="G45" s="30">
        <f t="shared" si="4"/>
        <v>2027</v>
      </c>
      <c r="H45" s="77">
        <f t="shared" si="4"/>
        <v>2028</v>
      </c>
    </row>
    <row r="46" spans="2:8" x14ac:dyDescent="0.25">
      <c r="B46" s="60"/>
      <c r="C46" s="5" t="s">
        <v>27</v>
      </c>
      <c r="D46" s="8"/>
      <c r="E46" s="8"/>
      <c r="F46" s="8"/>
      <c r="G46" s="31"/>
      <c r="H46" s="78"/>
    </row>
    <row r="47" spans="2:8" x14ac:dyDescent="0.25">
      <c r="B47" s="79" t="s">
        <v>23</v>
      </c>
      <c r="C47" s="14">
        <f>C49*$C$26</f>
        <v>77925885.280000001</v>
      </c>
      <c r="D47" s="10">
        <f>D49*D$42</f>
        <v>54065554.382452473</v>
      </c>
      <c r="E47" s="10">
        <f>E49*E$42</f>
        <v>30952063.136536315</v>
      </c>
      <c r="F47" s="10">
        <f t="shared" ref="F47:H47" si="5">F49*F$42</f>
        <v>36164837.121687315</v>
      </c>
      <c r="G47" s="32">
        <f t="shared" si="5"/>
        <v>33973905.715809353</v>
      </c>
      <c r="H47" s="61">
        <f t="shared" si="5"/>
        <v>35355043.412907243</v>
      </c>
    </row>
    <row r="48" spans="2:8" x14ac:dyDescent="0.25">
      <c r="B48" s="79" t="s">
        <v>17</v>
      </c>
      <c r="C48" s="14"/>
      <c r="D48" s="10">
        <f>D49-C49</f>
        <v>13484.320000000065</v>
      </c>
      <c r="E48" s="10">
        <f>E49-D49+D48</f>
        <v>27238.326400000136</v>
      </c>
      <c r="F48" s="10">
        <f t="shared" ref="F48:H48" si="6">F49-E49+E48</f>
        <v>41267.412928000209</v>
      </c>
      <c r="G48" s="32">
        <f t="shared" si="6"/>
        <v>55577.081186560215</v>
      </c>
      <c r="H48" s="61">
        <f t="shared" si="6"/>
        <v>70172.942810291424</v>
      </c>
    </row>
    <row r="49" spans="2:8" ht="15.75" thickBot="1" x14ac:dyDescent="0.3">
      <c r="B49" s="80" t="s">
        <v>18</v>
      </c>
      <c r="C49" s="15">
        <f>$C$27</f>
        <v>674216</v>
      </c>
      <c r="D49" s="17">
        <f>C49*(1+IF($C$30&gt;0,$C$30,0))</f>
        <v>687700.32000000007</v>
      </c>
      <c r="E49" s="17">
        <f t="shared" ref="E49:H49" si="7">D49*(1+IF($C$30&gt;0,$C$30,0))</f>
        <v>701454.32640000014</v>
      </c>
      <c r="F49" s="17">
        <f t="shared" si="7"/>
        <v>715483.41292800021</v>
      </c>
      <c r="G49" s="33">
        <f t="shared" si="7"/>
        <v>729793.08118656022</v>
      </c>
      <c r="H49" s="65">
        <f t="shared" si="7"/>
        <v>744388.94281029142</v>
      </c>
    </row>
    <row r="50" spans="2:8" x14ac:dyDescent="0.25">
      <c r="B50" s="76" t="s">
        <v>19</v>
      </c>
      <c r="C50" s="16"/>
      <c r="D50" s="18"/>
      <c r="E50" s="18"/>
      <c r="F50" s="18"/>
      <c r="G50" s="34"/>
      <c r="H50" s="81"/>
    </row>
    <row r="51" spans="2:8" x14ac:dyDescent="0.25">
      <c r="B51" s="79" t="s">
        <v>16</v>
      </c>
      <c r="C51" s="9">
        <f>C52*$C$28</f>
        <v>213642192</v>
      </c>
      <c r="D51" s="19">
        <f>D52*D$43</f>
        <v>145320127.17079803</v>
      </c>
      <c r="E51" s="19">
        <f>E52*E$43</f>
        <v>81563253.194121137</v>
      </c>
      <c r="F51" s="19">
        <f>F52*F$43</f>
        <v>93431060.553865656</v>
      </c>
      <c r="G51" s="35">
        <f>G52*G$43</f>
        <v>86049840.685285598</v>
      </c>
      <c r="H51" s="82">
        <f>H52*H$43</f>
        <v>87792172.562877908</v>
      </c>
    </row>
    <row r="52" spans="2:8" ht="13.9" customHeight="1" x14ac:dyDescent="0.25">
      <c r="B52" s="79" t="s">
        <v>18</v>
      </c>
      <c r="C52" s="14">
        <f t="shared" ref="C52:H52" si="8">$C$29</f>
        <v>2495820</v>
      </c>
      <c r="D52" s="10">
        <f t="shared" si="8"/>
        <v>2495820</v>
      </c>
      <c r="E52" s="10">
        <f t="shared" si="8"/>
        <v>2495820</v>
      </c>
      <c r="F52" s="10">
        <f t="shared" si="8"/>
        <v>2495820</v>
      </c>
      <c r="G52" s="32">
        <f t="shared" si="8"/>
        <v>2495820</v>
      </c>
      <c r="H52" s="61">
        <f t="shared" si="8"/>
        <v>2495820</v>
      </c>
    </row>
    <row r="53" spans="2:8" ht="15.75" thickBot="1" x14ac:dyDescent="0.3">
      <c r="B53" s="83"/>
      <c r="C53" s="28"/>
      <c r="D53" s="23"/>
      <c r="E53" s="23"/>
      <c r="F53" s="23"/>
      <c r="G53" s="36"/>
      <c r="H53" s="84"/>
    </row>
    <row r="54" spans="2:8" ht="15.75" thickBot="1" x14ac:dyDescent="0.3">
      <c r="B54" s="24" t="s">
        <v>22</v>
      </c>
      <c r="C54" s="29">
        <f t="shared" ref="C54:H54" si="9">(C47-C51)/1000000</f>
        <v>-135.71630672000001</v>
      </c>
      <c r="D54" s="25">
        <f t="shared" si="9"/>
        <v>-91.254572788345556</v>
      </c>
      <c r="E54" s="25">
        <f t="shared" si="9"/>
        <v>-50.611190057584821</v>
      </c>
      <c r="F54" s="25">
        <f t="shared" si="9"/>
        <v>-57.266223432178343</v>
      </c>
      <c r="G54" s="37">
        <f t="shared" si="9"/>
        <v>-52.075934969476243</v>
      </c>
      <c r="H54" s="26">
        <f t="shared" si="9"/>
        <v>-52.437129149970666</v>
      </c>
    </row>
    <row r="55" spans="2:8" x14ac:dyDescent="0.25">
      <c r="B55" s="3" t="s">
        <v>47</v>
      </c>
      <c r="C55" s="1"/>
      <c r="D55" s="1"/>
      <c r="E55" s="1"/>
      <c r="F55" s="1"/>
      <c r="G55" s="1"/>
      <c r="H55" s="1"/>
    </row>
    <row r="56" spans="2:8" ht="15.75" thickBot="1" x14ac:dyDescent="0.3">
      <c r="B56" s="3"/>
      <c r="C56" s="1"/>
      <c r="D56" s="1"/>
      <c r="E56" s="1"/>
      <c r="F56" s="1"/>
      <c r="G56" s="1"/>
      <c r="H56" s="1"/>
    </row>
    <row r="57" spans="2:8" x14ac:dyDescent="0.25">
      <c r="B57" s="72" t="s">
        <v>32</v>
      </c>
      <c r="C57" s="43" t="s">
        <v>28</v>
      </c>
      <c r="D57" s="43"/>
      <c r="E57" s="43"/>
      <c r="F57" s="43"/>
      <c r="G57" s="43"/>
      <c r="H57" s="44"/>
    </row>
    <row r="58" spans="2:8" x14ac:dyDescent="0.25">
      <c r="B58" s="73"/>
      <c r="C58" s="8"/>
      <c r="D58" s="7">
        <v>2024</v>
      </c>
      <c r="E58" s="7">
        <f t="shared" ref="E58" si="10">D58+1</f>
        <v>2025</v>
      </c>
      <c r="F58" s="7">
        <f t="shared" ref="F58" si="11">E58+1</f>
        <v>2026</v>
      </c>
      <c r="G58" s="7">
        <f t="shared" ref="G58" si="12">F58+1</f>
        <v>2027</v>
      </c>
      <c r="H58" s="56">
        <f t="shared" ref="H58" si="13">G58+1</f>
        <v>2028</v>
      </c>
    </row>
    <row r="59" spans="2:8" x14ac:dyDescent="0.25">
      <c r="B59" s="60" t="s">
        <v>20</v>
      </c>
      <c r="C59" s="8"/>
      <c r="D59" s="21">
        <v>40</v>
      </c>
      <c r="E59" s="21">
        <v>42</v>
      </c>
      <c r="F59" s="21">
        <v>46</v>
      </c>
      <c r="G59" s="21">
        <v>50</v>
      </c>
      <c r="H59" s="85">
        <v>60</v>
      </c>
    </row>
    <row r="60" spans="2:8" ht="15.75" thickBot="1" x14ac:dyDescent="0.3">
      <c r="B60" s="62" t="s">
        <v>21</v>
      </c>
      <c r="C60" s="12"/>
      <c r="D60" s="22">
        <v>30</v>
      </c>
      <c r="E60" s="22">
        <v>32</v>
      </c>
      <c r="F60" s="22">
        <v>34</v>
      </c>
      <c r="G60" s="22">
        <v>38</v>
      </c>
      <c r="H60" s="86">
        <v>40</v>
      </c>
    </row>
    <row r="61" spans="2:8" ht="13.9" customHeight="1" x14ac:dyDescent="0.25">
      <c r="B61" s="76"/>
      <c r="C61" s="27">
        <v>2023</v>
      </c>
      <c r="D61" s="20">
        <f>C61+1</f>
        <v>2024</v>
      </c>
      <c r="E61" s="20">
        <f t="shared" ref="E61:H61" si="14">D61+1</f>
        <v>2025</v>
      </c>
      <c r="F61" s="20">
        <f t="shared" si="14"/>
        <v>2026</v>
      </c>
      <c r="G61" s="30">
        <f t="shared" si="14"/>
        <v>2027</v>
      </c>
      <c r="H61" s="77">
        <f t="shared" si="14"/>
        <v>2028</v>
      </c>
    </row>
    <row r="62" spans="2:8" x14ac:dyDescent="0.25">
      <c r="B62" s="60"/>
      <c r="C62" s="5" t="s">
        <v>27</v>
      </c>
      <c r="D62" s="8"/>
      <c r="E62" s="8"/>
      <c r="F62" s="8"/>
      <c r="G62" s="31"/>
      <c r="H62" s="78"/>
    </row>
    <row r="63" spans="2:8" x14ac:dyDescent="0.25">
      <c r="B63" s="79" t="s">
        <v>23</v>
      </c>
      <c r="C63" s="14">
        <f>C65*$C$26</f>
        <v>77925885.280000001</v>
      </c>
      <c r="D63" s="10">
        <f>D64*D$59+$C$63</f>
        <v>78465258.079999998</v>
      </c>
      <c r="E63" s="10">
        <f t="shared" ref="E63:H63" si="15">E64*E$59+$C$63</f>
        <v>79069894.988800004</v>
      </c>
      <c r="F63" s="10">
        <f t="shared" si="15"/>
        <v>79824186.274688005</v>
      </c>
      <c r="G63" s="35">
        <f t="shared" si="15"/>
        <v>80704739.339328006</v>
      </c>
      <c r="H63" s="61">
        <f t="shared" si="15"/>
        <v>82136261.848617494</v>
      </c>
    </row>
    <row r="64" spans="2:8" x14ac:dyDescent="0.25">
      <c r="B64" s="79" t="s">
        <v>17</v>
      </c>
      <c r="C64" s="14"/>
      <c r="D64" s="10">
        <f>D65-C65</f>
        <v>13484.320000000065</v>
      </c>
      <c r="E64" s="10">
        <f>E65-D65+D64</f>
        <v>27238.326400000136</v>
      </c>
      <c r="F64" s="10">
        <f t="shared" ref="F64:H64" si="16">F65-E65+E64</f>
        <v>41267.412928000209</v>
      </c>
      <c r="G64" s="32">
        <f t="shared" si="16"/>
        <v>55577.081186560215</v>
      </c>
      <c r="H64" s="61">
        <f t="shared" si="16"/>
        <v>70172.942810291424</v>
      </c>
    </row>
    <row r="65" spans="2:15" ht="15.75" thickBot="1" x14ac:dyDescent="0.3">
      <c r="B65" s="80" t="s">
        <v>18</v>
      </c>
      <c r="C65" s="15">
        <f>$C$27</f>
        <v>674216</v>
      </c>
      <c r="D65" s="17">
        <f>D49</f>
        <v>687700.32000000007</v>
      </c>
      <c r="E65" s="17">
        <f>E49</f>
        <v>701454.32640000014</v>
      </c>
      <c r="F65" s="17">
        <f>F49</f>
        <v>715483.41292800021</v>
      </c>
      <c r="G65" s="33">
        <f>G49</f>
        <v>729793.08118656022</v>
      </c>
      <c r="H65" s="65">
        <f>H49</f>
        <v>744388.94281029142</v>
      </c>
    </row>
    <row r="66" spans="2:15" x14ac:dyDescent="0.25">
      <c r="B66" s="76" t="s">
        <v>19</v>
      </c>
      <c r="C66" s="16"/>
      <c r="D66" s="18"/>
      <c r="E66" s="18"/>
      <c r="F66" s="18"/>
      <c r="G66" s="34"/>
      <c r="H66" s="81"/>
    </row>
    <row r="67" spans="2:15" x14ac:dyDescent="0.25">
      <c r="B67" s="79" t="s">
        <v>16</v>
      </c>
      <c r="C67" s="9">
        <f>C68*$C$28</f>
        <v>213642192</v>
      </c>
      <c r="D67" s="38">
        <f t="shared" ref="D67:H67" si="17">D68*$C$28</f>
        <v>213642192</v>
      </c>
      <c r="E67" s="38">
        <f t="shared" si="17"/>
        <v>213642192</v>
      </c>
      <c r="F67" s="38">
        <f t="shared" si="17"/>
        <v>213642192</v>
      </c>
      <c r="G67" s="34">
        <f t="shared" si="17"/>
        <v>213642192</v>
      </c>
      <c r="H67" s="87">
        <f t="shared" si="17"/>
        <v>213642192</v>
      </c>
    </row>
    <row r="68" spans="2:15" x14ac:dyDescent="0.25">
      <c r="B68" s="79" t="s">
        <v>18</v>
      </c>
      <c r="C68" s="14">
        <f t="shared" ref="C68:H68" si="18">$C$29</f>
        <v>2495820</v>
      </c>
      <c r="D68" s="10">
        <f t="shared" si="18"/>
        <v>2495820</v>
      </c>
      <c r="E68" s="10">
        <f t="shared" si="18"/>
        <v>2495820</v>
      </c>
      <c r="F68" s="10">
        <f t="shared" si="18"/>
        <v>2495820</v>
      </c>
      <c r="G68" s="32">
        <f t="shared" si="18"/>
        <v>2495820</v>
      </c>
      <c r="H68" s="61">
        <f t="shared" si="18"/>
        <v>2495820</v>
      </c>
    </row>
    <row r="69" spans="2:15" ht="15.75" thickBot="1" x14ac:dyDescent="0.3">
      <c r="B69" s="88"/>
      <c r="C69" s="28"/>
      <c r="D69" s="23"/>
      <c r="E69" s="23"/>
      <c r="F69" s="23"/>
      <c r="G69" s="36"/>
      <c r="H69" s="84"/>
    </row>
    <row r="70" spans="2:15" ht="15.75" thickBot="1" x14ac:dyDescent="0.3">
      <c r="B70" s="24" t="s">
        <v>22</v>
      </c>
      <c r="C70" s="29">
        <f t="shared" ref="C70:H70" si="19">(C63-C67)/1000000</f>
        <v>-135.71630672000001</v>
      </c>
      <c r="D70" s="25">
        <f t="shared" si="19"/>
        <v>-135.17693392000001</v>
      </c>
      <c r="E70" s="25">
        <f t="shared" si="19"/>
        <v>-134.57229701120002</v>
      </c>
      <c r="F70" s="25">
        <f t="shared" si="19"/>
        <v>-133.81800572531199</v>
      </c>
      <c r="G70" s="37">
        <f t="shared" si="19"/>
        <v>-132.93745266067199</v>
      </c>
      <c r="H70" s="26">
        <f t="shared" si="19"/>
        <v>-131.5059301513825</v>
      </c>
    </row>
    <row r="71" spans="2:15" x14ac:dyDescent="0.25">
      <c r="B71" s="3" t="s">
        <v>47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</sheetData>
  <mergeCells count="13">
    <mergeCell ref="B10:H10"/>
    <mergeCell ref="B3:H3"/>
    <mergeCell ref="B4:H4"/>
    <mergeCell ref="B5:H5"/>
    <mergeCell ref="B6:H6"/>
    <mergeCell ref="B7:H7"/>
    <mergeCell ref="B8:H8"/>
    <mergeCell ref="B9:H9"/>
    <mergeCell ref="C40:H40"/>
    <mergeCell ref="C57:H57"/>
    <mergeCell ref="B13:H13"/>
    <mergeCell ref="D15:G15"/>
    <mergeCell ref="B24:C2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6E24FC16C59A4B9B2D927B94657A16" ma:contentTypeVersion="10" ma:contentTypeDescription="Create a new document." ma:contentTypeScope="" ma:versionID="6c3d5222f98e485cf4d69c77902daf13">
  <xsd:schema xmlns:xsd="http://www.w3.org/2001/XMLSchema" xmlns:xs="http://www.w3.org/2001/XMLSchema" xmlns:p="http://schemas.microsoft.com/office/2006/metadata/properties" xmlns:ns2="94d0a5ce-4b4c-4969-81bc-bcc4fc289eff" targetNamespace="http://schemas.microsoft.com/office/2006/metadata/properties" ma:root="true" ma:fieldsID="4bb3f15a41597416952a669f3b15107d" ns2:_="">
    <xsd:import namespace="94d0a5ce-4b4c-4969-81bc-bcc4fc289ef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d0a5ce-4b4c-4969-81bc-bcc4fc289ef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64B471-CEC4-4130-A63B-905737AAB469}"/>
</file>

<file path=customXml/itemProps2.xml><?xml version="1.0" encoding="utf-8"?>
<ds:datastoreItem xmlns:ds="http://schemas.openxmlformats.org/officeDocument/2006/customXml" ds:itemID="{F45888BC-2073-4CDB-B277-F40AC6219D5D}"/>
</file>

<file path=customXml/itemProps3.xml><?xml version="1.0" encoding="utf-8"?>
<ds:datastoreItem xmlns:ds="http://schemas.openxmlformats.org/officeDocument/2006/customXml" ds:itemID="{BC1CE5DA-ED67-40A0-AC3A-2A6A7A067E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 Price Calc</vt:lpstr>
    </vt:vector>
  </TitlesOfParts>
  <Company>Bonneville Power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Edwards,Michael D (BPA) - PSRF-6</dc:creator>
  <cp:lastModifiedBy>Robinson,Aimee K (BPA) - PSRF-6</cp:lastModifiedBy>
  <dcterms:created xsi:type="dcterms:W3CDTF">2026-07-28T15:51:33Z</dcterms:created>
  <dcterms:modified xsi:type="dcterms:W3CDTF">2026-07-30T19:06:40Z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0x010100BD6E24FC16C59A4B9B2D927B94657A16</vt:lpwstr>
  </property>
</Properties>
</file>