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ud.bpa.gov\appdata\mypc_userdata\UserData\Users\AMH0708\Desktop\HWM\"/>
    </mc:Choice>
  </mc:AlternateContent>
  <bookViews>
    <workbookView xWindow="0" yWindow="375" windowWidth="19080" windowHeight="11535"/>
  </bookViews>
  <sheets>
    <sheet name="Retained Provisional CHWM Calcs" sheetId="17" r:id="rId1"/>
    <sheet name="CDQ Adj for Retained Prov" sheetId="23" r:id="rId2"/>
    <sheet name="TOCA Updates" sheetId="21" r:id="rId3"/>
    <sheet name="SSL Updates" sheetId="22" r:id="rId4"/>
    <sheet name="CHWM_published" sheetId="18" r:id="rId5"/>
    <sheet name="Changes" sheetId="24" r:id="rId6"/>
  </sheets>
  <externalReferences>
    <externalReference r:id="rId7"/>
    <externalReference r:id="rId8"/>
  </externalReferences>
  <definedNames>
    <definedName name="_xlnm._FilterDatabase" localSheetId="0" hidden="1">'Retained Provisional CHWM Calcs'!$C$10:$C$50</definedName>
    <definedName name="_xlnm._FilterDatabase" localSheetId="2" hidden="1">'TOCA Updates'!$B$5:$I$5</definedName>
    <definedName name="CHWM">[1]Init!$B$6</definedName>
    <definedName name="clist">#REF!</definedName>
    <definedName name="cust">#REF!</definedName>
    <definedName name="cust_list">#REF!</definedName>
    <definedName name="custlist">#REF!</definedName>
    <definedName name="customerlist" localSheetId="0">'Retained Provisional CHWM Calcs'!$C$10:$C$50</definedName>
    <definedName name="customerlist">#REF!</definedName>
    <definedName name="LaRIS">#REF!</definedName>
    <definedName name="list">'Retained Provisional CHWM Calcs'!$C$10:$C$50</definedName>
    <definedName name="loadstart">[1]Init!$B$17</definedName>
    <definedName name="_xlnm.Print_Area" localSheetId="4">CHWM_published!$A$1:$AR$156</definedName>
    <definedName name="_xlnm.Print_Titles" localSheetId="4">CHWM_published!$B:$D,CHWM_published!$1:$11</definedName>
    <definedName name="_xlnm.Print_Titles" localSheetId="2">'TOCA Updates'!$4:$5</definedName>
    <definedName name="startmonth">[2]Init!$C$12</definedName>
    <definedName name="StudyName">#REF!</definedName>
  </definedNames>
  <calcPr calcId="162913"/>
</workbook>
</file>

<file path=xl/calcChain.xml><?xml version="1.0" encoding="utf-8"?>
<calcChain xmlns="http://schemas.openxmlformats.org/spreadsheetml/2006/main">
  <c r="X12" i="23" l="1"/>
  <c r="Y12" i="23"/>
  <c r="Z12" i="23"/>
  <c r="AA12" i="23"/>
  <c r="AB12" i="23"/>
  <c r="AC12" i="23"/>
  <c r="AD12" i="23"/>
  <c r="AE12" i="23"/>
  <c r="AF12" i="23"/>
  <c r="AG12" i="23"/>
  <c r="AH12" i="23"/>
  <c r="AI12" i="23"/>
  <c r="X13" i="23"/>
  <c r="Y13" i="23"/>
  <c r="Z13" i="23"/>
  <c r="AA13" i="23"/>
  <c r="AB13" i="23"/>
  <c r="AC13" i="23"/>
  <c r="AD13" i="23"/>
  <c r="AE13" i="23"/>
  <c r="AF13" i="23"/>
  <c r="AG13" i="23"/>
  <c r="AH13" i="23"/>
  <c r="AI13" i="23"/>
  <c r="X14" i="23"/>
  <c r="Y14" i="23"/>
  <c r="Z14" i="23"/>
  <c r="AA14" i="23"/>
  <c r="AB14" i="23"/>
  <c r="AC14" i="23"/>
  <c r="AD14" i="23"/>
  <c r="AE14" i="23"/>
  <c r="AF14" i="23"/>
  <c r="AG14" i="23"/>
  <c r="AH14" i="23"/>
  <c r="AI14" i="23"/>
  <c r="X15" i="23"/>
  <c r="Y15" i="23"/>
  <c r="Z15" i="23"/>
  <c r="AA15" i="23"/>
  <c r="AB15" i="23"/>
  <c r="AC15" i="23"/>
  <c r="AD15" i="23"/>
  <c r="AE15" i="23"/>
  <c r="AF15" i="23"/>
  <c r="AG15" i="23"/>
  <c r="AH15" i="23"/>
  <c r="AI15" i="23"/>
  <c r="X16" i="23"/>
  <c r="Y16" i="23"/>
  <c r="Z16" i="23"/>
  <c r="AA16" i="23"/>
  <c r="AB16" i="23"/>
  <c r="AC16" i="23"/>
  <c r="AD16" i="23"/>
  <c r="AE16" i="23"/>
  <c r="AF16" i="23"/>
  <c r="AG16" i="23"/>
  <c r="AH16" i="23"/>
  <c r="AI16" i="23"/>
  <c r="X17" i="23"/>
  <c r="Y17" i="23"/>
  <c r="Z17" i="23"/>
  <c r="AA17" i="23"/>
  <c r="AB17" i="23"/>
  <c r="AC17" i="23"/>
  <c r="AD17" i="23"/>
  <c r="AE17" i="23"/>
  <c r="AF17" i="23"/>
  <c r="AG17" i="23"/>
  <c r="AH17" i="23"/>
  <c r="AI17" i="23"/>
  <c r="X18" i="23"/>
  <c r="Y18" i="23"/>
  <c r="Z18" i="23"/>
  <c r="AA18" i="23"/>
  <c r="AB18" i="23"/>
  <c r="AC18" i="23"/>
  <c r="AD18" i="23"/>
  <c r="AE18" i="23"/>
  <c r="AF18" i="23"/>
  <c r="AG18" i="23"/>
  <c r="AH18" i="23"/>
  <c r="AI18" i="23"/>
  <c r="X19" i="23"/>
  <c r="Y19" i="23"/>
  <c r="Z19" i="23"/>
  <c r="AA19" i="23"/>
  <c r="AB19" i="23"/>
  <c r="AC19" i="23"/>
  <c r="AD19" i="23"/>
  <c r="AE19" i="23"/>
  <c r="AF19" i="23"/>
  <c r="AG19" i="23"/>
  <c r="AH19" i="23"/>
  <c r="AI19" i="23"/>
  <c r="X20" i="23"/>
  <c r="Y20" i="23"/>
  <c r="Z20" i="23"/>
  <c r="AA20" i="23"/>
  <c r="AB20" i="23"/>
  <c r="AC20" i="23"/>
  <c r="AD20" i="23"/>
  <c r="AE20" i="23"/>
  <c r="AF20" i="23"/>
  <c r="AG20" i="23"/>
  <c r="AH20" i="23"/>
  <c r="AI20" i="23"/>
  <c r="X21" i="23"/>
  <c r="Y21" i="23"/>
  <c r="Z21" i="23"/>
  <c r="AA21" i="23"/>
  <c r="AB21" i="23"/>
  <c r="AC21" i="23"/>
  <c r="AD21" i="23"/>
  <c r="AE21" i="23"/>
  <c r="AF21" i="23"/>
  <c r="AG21" i="23"/>
  <c r="AH21" i="23"/>
  <c r="AI21" i="23"/>
  <c r="X22" i="23"/>
  <c r="Y22" i="23"/>
  <c r="Z22" i="23"/>
  <c r="AA22" i="23"/>
  <c r="AB22" i="23"/>
  <c r="AC22" i="23"/>
  <c r="AD22" i="23"/>
  <c r="AE22" i="23"/>
  <c r="AF22" i="23"/>
  <c r="AG22" i="23"/>
  <c r="AH22" i="23"/>
  <c r="AI22" i="23"/>
  <c r="X23" i="23"/>
  <c r="Y23" i="23"/>
  <c r="Z23" i="23"/>
  <c r="AA23" i="23"/>
  <c r="AB23" i="23"/>
  <c r="AC23" i="23"/>
  <c r="AD23" i="23"/>
  <c r="AE23" i="23"/>
  <c r="AF23" i="23"/>
  <c r="AG23" i="23"/>
  <c r="AH23" i="23"/>
  <c r="AI23" i="23"/>
  <c r="X24" i="23"/>
  <c r="Y24" i="23"/>
  <c r="Z24" i="23"/>
  <c r="AA24" i="23"/>
  <c r="AB24" i="23"/>
  <c r="AC24" i="23"/>
  <c r="AD24" i="23"/>
  <c r="AE24" i="23"/>
  <c r="AF24" i="23"/>
  <c r="AG24" i="23"/>
  <c r="AH24" i="23"/>
  <c r="AI24" i="23"/>
  <c r="X25" i="23"/>
  <c r="Y25" i="23"/>
  <c r="Z25" i="23"/>
  <c r="AA25" i="23"/>
  <c r="AB25" i="23"/>
  <c r="AC25" i="23"/>
  <c r="AD25" i="23"/>
  <c r="AE25" i="23"/>
  <c r="AF25" i="23"/>
  <c r="AG25" i="23"/>
  <c r="AH25" i="23"/>
  <c r="AI25" i="23"/>
  <c r="X26" i="23"/>
  <c r="Y26" i="23"/>
  <c r="Z26" i="23"/>
  <c r="AA26" i="23"/>
  <c r="AB26" i="23"/>
  <c r="AC26" i="23"/>
  <c r="AD26" i="23"/>
  <c r="AE26" i="23"/>
  <c r="AF26" i="23"/>
  <c r="AG26" i="23"/>
  <c r="AH26" i="23"/>
  <c r="AI26" i="23"/>
  <c r="X27" i="23"/>
  <c r="Y27" i="23"/>
  <c r="Z27" i="23"/>
  <c r="AA27" i="23"/>
  <c r="AB27" i="23"/>
  <c r="AC27" i="23"/>
  <c r="AD27" i="23"/>
  <c r="AE27" i="23"/>
  <c r="AF27" i="23"/>
  <c r="AG27" i="23"/>
  <c r="AH27" i="23"/>
  <c r="AI27" i="23"/>
  <c r="X28" i="23"/>
  <c r="Y28" i="23"/>
  <c r="Z28" i="23"/>
  <c r="AA28" i="23"/>
  <c r="AB28" i="23"/>
  <c r="AC28" i="23"/>
  <c r="AD28" i="23"/>
  <c r="AE28" i="23"/>
  <c r="AF28" i="23"/>
  <c r="AG28" i="23"/>
  <c r="AH28" i="23"/>
  <c r="AI28" i="23"/>
  <c r="X29" i="23"/>
  <c r="Y29" i="23"/>
  <c r="Z29" i="23"/>
  <c r="AA29" i="23"/>
  <c r="AB29" i="23"/>
  <c r="AC29" i="23"/>
  <c r="AD29" i="23"/>
  <c r="AE29" i="23"/>
  <c r="AF29" i="23"/>
  <c r="AG29" i="23"/>
  <c r="AH29" i="23"/>
  <c r="AI29" i="23"/>
  <c r="X30" i="23"/>
  <c r="Y30" i="23"/>
  <c r="Z30" i="23"/>
  <c r="AA30" i="23"/>
  <c r="AB30" i="23"/>
  <c r="AC30" i="23"/>
  <c r="AD30" i="23"/>
  <c r="AE30" i="23"/>
  <c r="AF30" i="23"/>
  <c r="AG30" i="23"/>
  <c r="AH30" i="23"/>
  <c r="AI30" i="23"/>
  <c r="X31" i="23"/>
  <c r="Y31" i="23"/>
  <c r="Z31" i="23"/>
  <c r="AA31" i="23"/>
  <c r="AB31" i="23"/>
  <c r="AC31" i="23"/>
  <c r="AD31" i="23"/>
  <c r="AE31" i="23"/>
  <c r="AF31" i="23"/>
  <c r="AG31" i="23"/>
  <c r="AH31" i="23"/>
  <c r="AI31" i="23"/>
  <c r="X32" i="23"/>
  <c r="Y32" i="23"/>
  <c r="Z32" i="23"/>
  <c r="AA32" i="23"/>
  <c r="AB32" i="23"/>
  <c r="AC32" i="23"/>
  <c r="AD32" i="23"/>
  <c r="AE32" i="23"/>
  <c r="AF32" i="23"/>
  <c r="AG32" i="23"/>
  <c r="AH32" i="23"/>
  <c r="AI32" i="23"/>
  <c r="X33" i="23"/>
  <c r="Y33" i="23"/>
  <c r="Z33" i="23"/>
  <c r="AA33" i="23"/>
  <c r="AB33" i="23"/>
  <c r="AC33" i="23"/>
  <c r="AD33" i="23"/>
  <c r="AE33" i="23"/>
  <c r="AF33" i="23"/>
  <c r="AG33" i="23"/>
  <c r="AH33" i="23"/>
  <c r="AI33" i="23"/>
  <c r="X34" i="23"/>
  <c r="Y34" i="23"/>
  <c r="Z34" i="23"/>
  <c r="AA34" i="23"/>
  <c r="AB34" i="23"/>
  <c r="AC34" i="23"/>
  <c r="AD34" i="23"/>
  <c r="AE34" i="23"/>
  <c r="AF34" i="23"/>
  <c r="AG34" i="23"/>
  <c r="AH34" i="23"/>
  <c r="AI34" i="23"/>
  <c r="X35" i="23"/>
  <c r="Y35" i="23"/>
  <c r="Z35" i="23"/>
  <c r="AA35" i="23"/>
  <c r="AB35" i="23"/>
  <c r="AC35" i="23"/>
  <c r="AD35" i="23"/>
  <c r="AE35" i="23"/>
  <c r="AF35" i="23"/>
  <c r="AG35" i="23"/>
  <c r="AH35" i="23"/>
  <c r="AI35" i="23"/>
  <c r="X36" i="23"/>
  <c r="Y36" i="23"/>
  <c r="Z36" i="23"/>
  <c r="AA36" i="23"/>
  <c r="AB36" i="23"/>
  <c r="AC36" i="23"/>
  <c r="AD36" i="23"/>
  <c r="AE36" i="23"/>
  <c r="AF36" i="23"/>
  <c r="AG36" i="23"/>
  <c r="AH36" i="23"/>
  <c r="AI36" i="23"/>
  <c r="X37" i="23"/>
  <c r="Y37" i="23"/>
  <c r="Z37" i="23"/>
  <c r="AA37" i="23"/>
  <c r="AB37" i="23"/>
  <c r="AC37" i="23"/>
  <c r="AD37" i="23"/>
  <c r="AE37" i="23"/>
  <c r="AF37" i="23"/>
  <c r="AG37" i="23"/>
  <c r="AH37" i="23"/>
  <c r="AI37" i="23"/>
  <c r="X38" i="23"/>
  <c r="Y38" i="23"/>
  <c r="Z38" i="23"/>
  <c r="AA38" i="23"/>
  <c r="AB38" i="23"/>
  <c r="AC38" i="23"/>
  <c r="AD38" i="23"/>
  <c r="AE38" i="23"/>
  <c r="AF38" i="23"/>
  <c r="AG38" i="23"/>
  <c r="AH38" i="23"/>
  <c r="AI38" i="23"/>
  <c r="X39" i="23"/>
  <c r="Y39" i="23"/>
  <c r="Z39" i="23"/>
  <c r="AA39" i="23"/>
  <c r="AB39" i="23"/>
  <c r="AC39" i="23"/>
  <c r="AD39" i="23"/>
  <c r="AE39" i="23"/>
  <c r="AF39" i="23"/>
  <c r="AG39" i="23"/>
  <c r="AH39" i="23"/>
  <c r="AI39" i="23"/>
  <c r="X40" i="23"/>
  <c r="Y40" i="23"/>
  <c r="Z40" i="23"/>
  <c r="AA40" i="23"/>
  <c r="AB40" i="23"/>
  <c r="AC40" i="23"/>
  <c r="AD40" i="23"/>
  <c r="AE40" i="23"/>
  <c r="AF40" i="23"/>
  <c r="AG40" i="23"/>
  <c r="AH40" i="23"/>
  <c r="AI40" i="23"/>
  <c r="X41" i="23"/>
  <c r="Y41" i="23"/>
  <c r="Z41" i="23"/>
  <c r="AA41" i="23"/>
  <c r="AB41" i="23"/>
  <c r="AC41" i="23"/>
  <c r="AD41" i="23"/>
  <c r="AE41" i="23"/>
  <c r="AF41" i="23"/>
  <c r="AG41" i="23"/>
  <c r="AH41" i="23"/>
  <c r="AI41" i="23"/>
  <c r="X42" i="23"/>
  <c r="Y42" i="23"/>
  <c r="Z42" i="23"/>
  <c r="AA42" i="23"/>
  <c r="AB42" i="23"/>
  <c r="AC42" i="23"/>
  <c r="AD42" i="23"/>
  <c r="AE42" i="23"/>
  <c r="AF42" i="23"/>
  <c r="AG42" i="23"/>
  <c r="AH42" i="23"/>
  <c r="AI42" i="23"/>
  <c r="X43" i="23"/>
  <c r="Y43" i="23"/>
  <c r="Z43" i="23"/>
  <c r="AA43" i="23"/>
  <c r="AB43" i="23"/>
  <c r="AC43" i="23"/>
  <c r="AD43" i="23"/>
  <c r="AE43" i="23"/>
  <c r="AF43" i="23"/>
  <c r="AG43" i="23"/>
  <c r="AH43" i="23"/>
  <c r="AI43" i="23"/>
  <c r="X44" i="23"/>
  <c r="Y44" i="23"/>
  <c r="Z44" i="23"/>
  <c r="AA44" i="23"/>
  <c r="AB44" i="23"/>
  <c r="AC44" i="23"/>
  <c r="AD44" i="23"/>
  <c r="AE44" i="23"/>
  <c r="AF44" i="23"/>
  <c r="AG44" i="23"/>
  <c r="AH44" i="23"/>
  <c r="AI44" i="23"/>
  <c r="X45" i="23"/>
  <c r="Y45" i="23"/>
  <c r="Z45" i="23"/>
  <c r="AA45" i="23"/>
  <c r="AB45" i="23"/>
  <c r="AC45" i="23"/>
  <c r="AD45" i="23"/>
  <c r="AE45" i="23"/>
  <c r="AF45" i="23"/>
  <c r="AG45" i="23"/>
  <c r="AH45" i="23"/>
  <c r="AI45" i="23"/>
  <c r="X46" i="23"/>
  <c r="Y46" i="23"/>
  <c r="Z46" i="23"/>
  <c r="AA46" i="23"/>
  <c r="AB46" i="23"/>
  <c r="AC46" i="23"/>
  <c r="AD46" i="23"/>
  <c r="AE46" i="23"/>
  <c r="AF46" i="23"/>
  <c r="AG46" i="23"/>
  <c r="AH46" i="23"/>
  <c r="AI46" i="23"/>
  <c r="X47" i="23"/>
  <c r="Y47" i="23"/>
  <c r="Z47" i="23"/>
  <c r="AA47" i="23"/>
  <c r="AB47" i="23"/>
  <c r="AC47" i="23"/>
  <c r="AD47" i="23"/>
  <c r="AE47" i="23"/>
  <c r="AF47" i="23"/>
  <c r="AG47" i="23"/>
  <c r="AH47" i="23"/>
  <c r="AI47" i="23"/>
  <c r="AI11" i="23"/>
  <c r="AH11" i="23"/>
  <c r="AG11" i="23"/>
  <c r="AF11" i="23"/>
  <c r="AE11" i="23"/>
  <c r="AD11" i="23"/>
  <c r="AC11" i="23"/>
  <c r="AB11" i="23"/>
  <c r="AA11" i="23"/>
  <c r="Z11" i="23"/>
  <c r="Y11" i="23"/>
  <c r="X11" i="23"/>
  <c r="AI10" i="23"/>
  <c r="AH10" i="23"/>
  <c r="AG10" i="23"/>
  <c r="AF10" i="23"/>
  <c r="AE10" i="23"/>
  <c r="AD10" i="23"/>
  <c r="AC10" i="23"/>
  <c r="AB10" i="23"/>
  <c r="AA10" i="23"/>
  <c r="Z10" i="23"/>
  <c r="Y10" i="23"/>
  <c r="X10" i="23"/>
  <c r="Y7" i="23"/>
  <c r="Z7" i="23"/>
  <c r="AA7" i="23"/>
  <c r="AB7" i="23"/>
  <c r="AC7" i="23"/>
  <c r="AD7" i="23"/>
  <c r="AE7" i="23"/>
  <c r="AF7" i="23"/>
  <c r="AG7" i="23"/>
  <c r="AH7" i="23"/>
  <c r="AI7" i="23"/>
  <c r="Y8" i="23"/>
  <c r="Z8" i="23"/>
  <c r="AA8" i="23"/>
  <c r="AB8" i="23"/>
  <c r="AC8" i="23"/>
  <c r="AD8" i="23"/>
  <c r="AE8" i="23"/>
  <c r="AF8" i="23"/>
  <c r="AG8" i="23"/>
  <c r="AH8" i="23"/>
  <c r="AI8" i="23"/>
  <c r="X8" i="23"/>
  <c r="X7" i="23"/>
  <c r="G53" i="23" l="1"/>
  <c r="E53" i="23"/>
  <c r="E52" i="23" s="1"/>
  <c r="D53" i="23"/>
  <c r="AI50" i="23"/>
  <c r="AH50" i="23"/>
  <c r="AG50" i="23"/>
  <c r="AF50" i="23"/>
  <c r="AE50" i="23"/>
  <c r="AD50" i="23"/>
  <c r="AC50" i="23"/>
  <c r="AB50" i="23"/>
  <c r="AA50" i="23"/>
  <c r="Z50" i="23"/>
  <c r="Y50" i="23"/>
  <c r="X50" i="23"/>
  <c r="AI48" i="23"/>
  <c r="AI51" i="23" s="1"/>
  <c r="AH48" i="23"/>
  <c r="AH51" i="23" s="1"/>
  <c r="AG48" i="23"/>
  <c r="AG51" i="23" s="1"/>
  <c r="AF48" i="23"/>
  <c r="AF51" i="23" s="1"/>
  <c r="AE48" i="23"/>
  <c r="AE51" i="23" s="1"/>
  <c r="AD48" i="23"/>
  <c r="AD51" i="23" s="1"/>
  <c r="AC48" i="23"/>
  <c r="AC51" i="23" s="1"/>
  <c r="AB48" i="23"/>
  <c r="AB51" i="23" s="1"/>
  <c r="AA48" i="23"/>
  <c r="AA51" i="23" s="1"/>
  <c r="Z48" i="23"/>
  <c r="Z51" i="23" s="1"/>
  <c r="Y48" i="23"/>
  <c r="Y51" i="23" s="1"/>
  <c r="X48" i="23"/>
  <c r="X51" i="23" s="1"/>
  <c r="C9" i="22"/>
  <c r="C10" i="22"/>
  <c r="C11" i="22"/>
  <c r="C12" i="22"/>
  <c r="C13" i="22"/>
  <c r="C14" i="22"/>
  <c r="C15" i="22"/>
  <c r="C16" i="22"/>
  <c r="C8" i="22"/>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O48" i="17"/>
  <c r="O44" i="17"/>
  <c r="O32" i="17"/>
  <c r="O28" i="17"/>
  <c r="O12" i="17"/>
  <c r="O22" i="17"/>
  <c r="O35" i="17"/>
  <c r="O19" i="17"/>
  <c r="O46" i="17"/>
  <c r="O41" i="17"/>
  <c r="O36" i="17"/>
  <c r="O33" i="17"/>
  <c r="O27" i="17"/>
  <c r="O25" i="17"/>
  <c r="O21" i="17"/>
  <c r="O17" i="17"/>
  <c r="O13" i="17"/>
  <c r="F161" i="18"/>
  <c r="G161" i="18" s="1"/>
  <c r="H161" i="18" s="1"/>
  <c r="I161" i="18" s="1"/>
  <c r="J161" i="18" s="1"/>
  <c r="K161" i="18" s="1"/>
  <c r="L161" i="18" s="1"/>
  <c r="M161" i="18" s="1"/>
  <c r="N161" i="18" s="1"/>
  <c r="O161" i="18" s="1"/>
  <c r="P161" i="18" s="1"/>
  <c r="Q161" i="18" s="1"/>
  <c r="R161" i="18" s="1"/>
  <c r="S161" i="18" s="1"/>
  <c r="T161" i="18" s="1"/>
  <c r="U161" i="18" s="1"/>
  <c r="V161" i="18" s="1"/>
  <c r="W161" i="18" s="1"/>
  <c r="X161" i="18" s="1"/>
  <c r="Y161" i="18" s="1"/>
  <c r="Z161" i="18" s="1"/>
  <c r="AA161" i="18" s="1"/>
  <c r="AB161" i="18" s="1"/>
  <c r="AC161" i="18" s="1"/>
  <c r="AD161" i="18" s="1"/>
  <c r="AE161" i="18" s="1"/>
  <c r="AF161" i="18" s="1"/>
  <c r="AG161" i="18" s="1"/>
  <c r="AH161" i="18" s="1"/>
  <c r="AI161" i="18" s="1"/>
  <c r="AJ161" i="18" s="1"/>
  <c r="AK161" i="18" s="1"/>
  <c r="AL161" i="18" s="1"/>
  <c r="AM161" i="18" s="1"/>
  <c r="AN161" i="18" s="1"/>
  <c r="AO161" i="18" s="1"/>
  <c r="AP161" i="18" s="1"/>
  <c r="AQ161" i="18" s="1"/>
  <c r="AR161" i="18" s="1"/>
  <c r="AQ150" i="18"/>
  <c r="AE150" i="18"/>
  <c r="M150" i="18"/>
  <c r="E150" i="18"/>
  <c r="AQ149" i="18"/>
  <c r="AQ3" i="18" s="1"/>
  <c r="AI149" i="18"/>
  <c r="AE149" i="18"/>
  <c r="AB149" i="18"/>
  <c r="Z149" i="18"/>
  <c r="Y149" i="18"/>
  <c r="X149" i="18"/>
  <c r="W149" i="18"/>
  <c r="V149" i="18"/>
  <c r="S149" i="18"/>
  <c r="Q149" i="18"/>
  <c r="P149" i="18"/>
  <c r="O149" i="18"/>
  <c r="N149" i="18"/>
  <c r="M149" i="18"/>
  <c r="K149" i="18"/>
  <c r="I149" i="18"/>
  <c r="H149" i="18"/>
  <c r="G149" i="18"/>
  <c r="F149" i="18"/>
  <c r="E149" i="18"/>
  <c r="AR147" i="18"/>
  <c r="AL144" i="18"/>
  <c r="AA144" i="18"/>
  <c r="T144" i="18"/>
  <c r="R144" i="18"/>
  <c r="J144" i="18"/>
  <c r="L144" i="18" s="1"/>
  <c r="AL143" i="18"/>
  <c r="P48" i="17" s="1"/>
  <c r="AA143" i="18"/>
  <c r="R143" i="18"/>
  <c r="T143" i="18" s="1"/>
  <c r="J143" i="18"/>
  <c r="L143" i="18" s="1"/>
  <c r="AL142" i="18"/>
  <c r="AA142" i="18"/>
  <c r="AC142" i="18" s="1"/>
  <c r="AD142" i="18" s="1"/>
  <c r="AH142" i="18" s="1"/>
  <c r="AO142" i="18" s="1"/>
  <c r="T142" i="18"/>
  <c r="R142" i="18"/>
  <c r="J142" i="18"/>
  <c r="L142" i="18" s="1"/>
  <c r="AL141" i="18"/>
  <c r="P47" i="17" s="1"/>
  <c r="AC141" i="18"/>
  <c r="S47" i="17" s="1"/>
  <c r="AA141" i="18"/>
  <c r="AG141" i="18" s="1"/>
  <c r="R141" i="18"/>
  <c r="T141" i="18" s="1"/>
  <c r="U141" i="18" s="1"/>
  <c r="AD141" i="18" s="1"/>
  <c r="AH141" i="18" s="1"/>
  <c r="J141" i="18"/>
  <c r="L141" i="18" s="1"/>
  <c r="AL140" i="18"/>
  <c r="AA140" i="18"/>
  <c r="R140" i="18"/>
  <c r="T140" i="18" s="1"/>
  <c r="J140" i="18"/>
  <c r="L140" i="18"/>
  <c r="U140" i="18" s="1"/>
  <c r="AL139" i="18"/>
  <c r="AA139" i="18"/>
  <c r="R139" i="18"/>
  <c r="T139" i="18" s="1"/>
  <c r="J139" i="18"/>
  <c r="L139" i="18" s="1"/>
  <c r="AL138" i="18"/>
  <c r="AA138" i="18"/>
  <c r="AG138" i="18" s="1"/>
  <c r="R138" i="18"/>
  <c r="T138" i="18" s="1"/>
  <c r="L138" i="18"/>
  <c r="J138" i="18"/>
  <c r="AL137" i="18"/>
  <c r="AA137" i="18"/>
  <c r="AC137" i="18" s="1"/>
  <c r="R137" i="18"/>
  <c r="T137" i="18" s="1"/>
  <c r="J137" i="18"/>
  <c r="L137" i="18" s="1"/>
  <c r="AL136" i="18"/>
  <c r="AA136" i="18"/>
  <c r="AC136" i="18" s="1"/>
  <c r="R136" i="18"/>
  <c r="T136" i="18" s="1"/>
  <c r="J136" i="18"/>
  <c r="L136" i="18" s="1"/>
  <c r="AL135" i="18"/>
  <c r="AA135" i="18"/>
  <c r="AC135" i="18" s="1"/>
  <c r="R135" i="18"/>
  <c r="T135" i="18" s="1"/>
  <c r="J135" i="18"/>
  <c r="L135" i="18"/>
  <c r="AL134" i="18"/>
  <c r="AA134" i="18"/>
  <c r="R134" i="18"/>
  <c r="T134" i="18" s="1"/>
  <c r="L134" i="18"/>
  <c r="U134" i="18" s="1"/>
  <c r="J134" i="18"/>
  <c r="AL133" i="18"/>
  <c r="AA133" i="18"/>
  <c r="AG133" i="18" s="1"/>
  <c r="T133" i="18"/>
  <c r="R133" i="18"/>
  <c r="J133" i="18"/>
  <c r="L133" i="18"/>
  <c r="AL132" i="18"/>
  <c r="AA132" i="18"/>
  <c r="AG132" i="18" s="1"/>
  <c r="R132" i="18"/>
  <c r="T132" i="18" s="1"/>
  <c r="J132" i="18"/>
  <c r="L132" i="18" s="1"/>
  <c r="U132" i="18" s="1"/>
  <c r="AL131" i="18"/>
  <c r="AC131" i="18"/>
  <c r="AA131" i="18"/>
  <c r="AG131" i="18" s="1"/>
  <c r="R131" i="18"/>
  <c r="T131" i="18"/>
  <c r="J131" i="18"/>
  <c r="L131" i="18" s="1"/>
  <c r="AL130" i="18"/>
  <c r="AA130" i="18"/>
  <c r="AG130" i="18" s="1"/>
  <c r="R130" i="18"/>
  <c r="T130" i="18" s="1"/>
  <c r="J130" i="18"/>
  <c r="L130" i="18" s="1"/>
  <c r="U130" i="18" s="1"/>
  <c r="AL129" i="18"/>
  <c r="AA129" i="18"/>
  <c r="R129" i="18"/>
  <c r="T129" i="18" s="1"/>
  <c r="J129" i="18"/>
  <c r="L129" i="18"/>
  <c r="AL128" i="18"/>
  <c r="AA128" i="18"/>
  <c r="R128" i="18"/>
  <c r="T128" i="18" s="1"/>
  <c r="L128" i="18"/>
  <c r="U128" i="18" s="1"/>
  <c r="AD128" i="18" s="1"/>
  <c r="AH128" i="18" s="1"/>
  <c r="J128" i="18"/>
  <c r="AL127" i="18"/>
  <c r="AA127" i="18"/>
  <c r="AC127" i="18" s="1"/>
  <c r="R127" i="18"/>
  <c r="T127" i="18" s="1"/>
  <c r="J127" i="18"/>
  <c r="L127" i="18" s="1"/>
  <c r="AL126" i="18"/>
  <c r="AA126" i="18"/>
  <c r="AG126" i="18" s="1"/>
  <c r="R126" i="18"/>
  <c r="T126" i="18" s="1"/>
  <c r="J126" i="18"/>
  <c r="L126" i="18" s="1"/>
  <c r="AL125" i="18"/>
  <c r="AC125" i="18"/>
  <c r="AA125" i="18"/>
  <c r="AG125" i="18" s="1"/>
  <c r="T125" i="18"/>
  <c r="R125" i="18"/>
  <c r="J125" i="18"/>
  <c r="L125" i="18"/>
  <c r="U125" i="18" s="1"/>
  <c r="AD125" i="18" s="1"/>
  <c r="AH125" i="18" s="1"/>
  <c r="AL124" i="18"/>
  <c r="AA124" i="18"/>
  <c r="R124" i="18"/>
  <c r="T124" i="18" s="1"/>
  <c r="L124" i="18"/>
  <c r="U124" i="18" s="1"/>
  <c r="J124" i="18"/>
  <c r="AL123" i="18"/>
  <c r="AA123" i="18"/>
  <c r="AC123" i="18" s="1"/>
  <c r="R123" i="18"/>
  <c r="T123" i="18" s="1"/>
  <c r="L123" i="18"/>
  <c r="J123" i="18"/>
  <c r="AL122" i="18"/>
  <c r="AA122" i="18"/>
  <c r="AC122" i="18" s="1"/>
  <c r="R122" i="18"/>
  <c r="T122" i="18" s="1"/>
  <c r="J122" i="18"/>
  <c r="L122" i="18" s="1"/>
  <c r="U122" i="18" s="1"/>
  <c r="AD122" i="18" s="1"/>
  <c r="AH122" i="18" s="1"/>
  <c r="AO122" i="18" s="1"/>
  <c r="AL121" i="18"/>
  <c r="AA121" i="18"/>
  <c r="AC121" i="18" s="1"/>
  <c r="AG121" i="18"/>
  <c r="R121" i="18"/>
  <c r="T121" i="18" s="1"/>
  <c r="L121" i="18"/>
  <c r="U121" i="18"/>
  <c r="J121" i="18"/>
  <c r="AL120" i="18"/>
  <c r="AA120" i="18"/>
  <c r="T120" i="18"/>
  <c r="R120" i="18"/>
  <c r="J120" i="18"/>
  <c r="L120" i="18"/>
  <c r="AL119" i="18"/>
  <c r="AA119" i="18"/>
  <c r="R119" i="18"/>
  <c r="T119" i="18" s="1"/>
  <c r="J119" i="18"/>
  <c r="L119" i="18" s="1"/>
  <c r="U119" i="18" s="1"/>
  <c r="AL118" i="18"/>
  <c r="AA118" i="18"/>
  <c r="R118" i="18"/>
  <c r="T118" i="18" s="1"/>
  <c r="J118" i="18"/>
  <c r="L118" i="18" s="1"/>
  <c r="AL117" i="18"/>
  <c r="AA117" i="18"/>
  <c r="R117" i="18"/>
  <c r="T117" i="18" s="1"/>
  <c r="J117" i="18"/>
  <c r="L117" i="18" s="1"/>
  <c r="AL116" i="18"/>
  <c r="P46" i="17" s="1"/>
  <c r="R46" i="17" s="1"/>
  <c r="AA116" i="18"/>
  <c r="R116" i="18"/>
  <c r="T116" i="18" s="1"/>
  <c r="J116" i="18"/>
  <c r="L116" i="18"/>
  <c r="AL115" i="18"/>
  <c r="AA115" i="18"/>
  <c r="R115" i="18"/>
  <c r="T115" i="18" s="1"/>
  <c r="J115" i="18"/>
  <c r="L115" i="18" s="1"/>
  <c r="U115" i="18" s="1"/>
  <c r="AL114" i="18"/>
  <c r="AA114" i="18"/>
  <c r="AG114" i="18" s="1"/>
  <c r="R114" i="18"/>
  <c r="T114" i="18"/>
  <c r="J114" i="18"/>
  <c r="L114" i="18" s="1"/>
  <c r="U114" i="18" s="1"/>
  <c r="AL113" i="18"/>
  <c r="AA113" i="18"/>
  <c r="R113" i="18"/>
  <c r="T113" i="18" s="1"/>
  <c r="L113" i="18"/>
  <c r="J113" i="18"/>
  <c r="AL112" i="18"/>
  <c r="AA112" i="18"/>
  <c r="T112" i="18"/>
  <c r="R112" i="18"/>
  <c r="J112" i="18"/>
  <c r="L112" i="18" s="1"/>
  <c r="U112" i="18" s="1"/>
  <c r="AL111" i="18"/>
  <c r="P45" i="17" s="1"/>
  <c r="AA111" i="18"/>
  <c r="AG111" i="18" s="1"/>
  <c r="T111" i="18"/>
  <c r="R111" i="18"/>
  <c r="J111" i="18"/>
  <c r="L111" i="18" s="1"/>
  <c r="AL110" i="18"/>
  <c r="AA110" i="18"/>
  <c r="R110" i="18"/>
  <c r="T110" i="18" s="1"/>
  <c r="J110" i="18"/>
  <c r="L110" i="18" s="1"/>
  <c r="U110" i="18" s="1"/>
  <c r="AL109" i="18"/>
  <c r="AA109" i="18"/>
  <c r="AG109" i="18" s="1"/>
  <c r="R109" i="18"/>
  <c r="T109" i="18"/>
  <c r="L109" i="18"/>
  <c r="U109" i="18" s="1"/>
  <c r="J109" i="18"/>
  <c r="AL108" i="18"/>
  <c r="AG108" i="18"/>
  <c r="AC108" i="18"/>
  <c r="AA108" i="18"/>
  <c r="R108" i="18"/>
  <c r="T108" i="18"/>
  <c r="J108" i="18"/>
  <c r="L108" i="18" s="1"/>
  <c r="AL107" i="18"/>
  <c r="AA107" i="18"/>
  <c r="AC107" i="18" s="1"/>
  <c r="R107" i="18"/>
  <c r="T107" i="18" s="1"/>
  <c r="L107" i="18"/>
  <c r="U107" i="18" s="1"/>
  <c r="AD107" i="18" s="1"/>
  <c r="AH107" i="18" s="1"/>
  <c r="AO107" i="18" s="1"/>
  <c r="J107" i="18"/>
  <c r="AL106" i="18"/>
  <c r="P44" i="17" s="1"/>
  <c r="AA106" i="18"/>
  <c r="AC106" i="18" s="1"/>
  <c r="S44" i="17" s="1"/>
  <c r="R106" i="18"/>
  <c r="T106" i="18" s="1"/>
  <c r="J106" i="18"/>
  <c r="L106" i="18" s="1"/>
  <c r="AL105" i="18"/>
  <c r="AA105" i="18"/>
  <c r="AG105" i="18" s="1"/>
  <c r="R105" i="18"/>
  <c r="T105" i="18" s="1"/>
  <c r="J105" i="18"/>
  <c r="L105" i="18" s="1"/>
  <c r="AL104" i="18"/>
  <c r="AC104" i="18"/>
  <c r="AA104" i="18"/>
  <c r="AG104" i="18" s="1"/>
  <c r="U104" i="18"/>
  <c r="AD104" i="18" s="1"/>
  <c r="AH104" i="18" s="1"/>
  <c r="AO104" i="18" s="1"/>
  <c r="R104" i="18"/>
  <c r="T104" i="18" s="1"/>
  <c r="J104" i="18"/>
  <c r="L104" i="18" s="1"/>
  <c r="AL103" i="18"/>
  <c r="P43" i="17" s="1"/>
  <c r="AA103" i="18"/>
  <c r="T103" i="18"/>
  <c r="U103" i="18" s="1"/>
  <c r="R103" i="18"/>
  <c r="J103" i="18"/>
  <c r="L103" i="18" s="1"/>
  <c r="AL102" i="18"/>
  <c r="AA102" i="18"/>
  <c r="AG102" i="18" s="1"/>
  <c r="R102" i="18"/>
  <c r="T102" i="18" s="1"/>
  <c r="J102" i="18"/>
  <c r="L102" i="18" s="1"/>
  <c r="U102" i="18" s="1"/>
  <c r="AL101" i="18"/>
  <c r="P42" i="17" s="1"/>
  <c r="AA101" i="18"/>
  <c r="AC101" i="18" s="1"/>
  <c r="S42" i="17" s="1"/>
  <c r="R101" i="18"/>
  <c r="T101" i="18" s="1"/>
  <c r="L101" i="18"/>
  <c r="U101" i="18" s="1"/>
  <c r="AD101" i="18" s="1"/>
  <c r="AH101" i="18" s="1"/>
  <c r="H42" i="17" s="1"/>
  <c r="J101" i="18"/>
  <c r="AL100" i="18"/>
  <c r="P41" i="17" s="1"/>
  <c r="AA100" i="18"/>
  <c r="R100" i="18"/>
  <c r="T100" i="18" s="1"/>
  <c r="J100" i="18"/>
  <c r="L100" i="18" s="1"/>
  <c r="AL99" i="18"/>
  <c r="AA99" i="18"/>
  <c r="R99" i="18"/>
  <c r="T99" i="18" s="1"/>
  <c r="U99" i="18" s="1"/>
  <c r="J99" i="18"/>
  <c r="L99" i="18" s="1"/>
  <c r="AL98" i="18"/>
  <c r="P40" i="17" s="1"/>
  <c r="AG98" i="18"/>
  <c r="AC98" i="18"/>
  <c r="S40" i="17" s="1"/>
  <c r="AA98" i="18"/>
  <c r="R98" i="18"/>
  <c r="T98" i="18"/>
  <c r="U98" i="18" s="1"/>
  <c r="J98" i="18"/>
  <c r="L98" i="18" s="1"/>
  <c r="AL97" i="18"/>
  <c r="P39" i="17" s="1"/>
  <c r="AA97" i="18"/>
  <c r="R97" i="18"/>
  <c r="T97" i="18" s="1"/>
  <c r="L97" i="18"/>
  <c r="J97" i="18"/>
  <c r="AL96" i="18"/>
  <c r="AC96" i="18"/>
  <c r="AA96" i="18"/>
  <c r="AG96" i="18" s="1"/>
  <c r="R96" i="18"/>
  <c r="T96" i="18"/>
  <c r="J96" i="18"/>
  <c r="L96" i="18" s="1"/>
  <c r="AL95" i="18"/>
  <c r="P38" i="17" s="1"/>
  <c r="AA95" i="18"/>
  <c r="AG95" i="18" s="1"/>
  <c r="R95" i="18"/>
  <c r="T95" i="18" s="1"/>
  <c r="J95" i="18"/>
  <c r="L95" i="18" s="1"/>
  <c r="U95" i="18" s="1"/>
  <c r="AL94" i="18"/>
  <c r="AA94" i="18"/>
  <c r="AC94" i="18" s="1"/>
  <c r="AG94" i="18"/>
  <c r="R94" i="18"/>
  <c r="T94" i="18" s="1"/>
  <c r="J94" i="18"/>
  <c r="L94" i="18" s="1"/>
  <c r="AL93" i="18"/>
  <c r="AA93" i="18"/>
  <c r="AG93" i="18" s="1"/>
  <c r="R93" i="18"/>
  <c r="T93" i="18"/>
  <c r="J93" i="18"/>
  <c r="L93" i="18" s="1"/>
  <c r="AL92" i="18"/>
  <c r="AA92" i="18"/>
  <c r="R92" i="18"/>
  <c r="T92" i="18" s="1"/>
  <c r="J92" i="18"/>
  <c r="L92" i="18" s="1"/>
  <c r="AL91" i="18"/>
  <c r="AA91" i="18"/>
  <c r="AC91" i="18" s="1"/>
  <c r="T91" i="18"/>
  <c r="R91" i="18"/>
  <c r="J91" i="18"/>
  <c r="L91" i="18" s="1"/>
  <c r="U91" i="18" s="1"/>
  <c r="AL90" i="18"/>
  <c r="AA90" i="18"/>
  <c r="R90" i="18"/>
  <c r="T90" i="18" s="1"/>
  <c r="J90" i="18"/>
  <c r="L90" i="18" s="1"/>
  <c r="U90" i="18" s="1"/>
  <c r="AL89" i="18"/>
  <c r="AA89" i="18"/>
  <c r="AG89" i="18" s="1"/>
  <c r="R89" i="18"/>
  <c r="T89" i="18" s="1"/>
  <c r="L89" i="18"/>
  <c r="U89" i="18" s="1"/>
  <c r="AD89" i="18" s="1"/>
  <c r="AH89" i="18" s="1"/>
  <c r="J89" i="18"/>
  <c r="AL88" i="18"/>
  <c r="AA88" i="18"/>
  <c r="U88" i="18"/>
  <c r="R88" i="18"/>
  <c r="T88" i="18" s="1"/>
  <c r="J88" i="18"/>
  <c r="L88" i="18" s="1"/>
  <c r="AL87" i="18"/>
  <c r="P37" i="17" s="1"/>
  <c r="AA87" i="18"/>
  <c r="AC87" i="18" s="1"/>
  <c r="S37" i="17" s="1"/>
  <c r="T87" i="18"/>
  <c r="R87" i="18"/>
  <c r="J87" i="18"/>
  <c r="L87" i="18"/>
  <c r="U87" i="18" s="1"/>
  <c r="AL86" i="18"/>
  <c r="AA86" i="18"/>
  <c r="R86" i="18"/>
  <c r="T86" i="18"/>
  <c r="J86" i="18"/>
  <c r="L86" i="18" s="1"/>
  <c r="AL85" i="18"/>
  <c r="P36" i="17" s="1"/>
  <c r="AA85" i="18"/>
  <c r="AG85" i="18" s="1"/>
  <c r="R85" i="18"/>
  <c r="T85" i="18" s="1"/>
  <c r="U85" i="18" s="1"/>
  <c r="AD85" i="18" s="1"/>
  <c r="AH85" i="18" s="1"/>
  <c r="J85" i="18"/>
  <c r="L85" i="18" s="1"/>
  <c r="AL84" i="18"/>
  <c r="AC84" i="18"/>
  <c r="AA84" i="18"/>
  <c r="AG84" i="18" s="1"/>
  <c r="R84" i="18"/>
  <c r="T84" i="18" s="1"/>
  <c r="J84" i="18"/>
  <c r="L84" i="18" s="1"/>
  <c r="AL83" i="18"/>
  <c r="AA83" i="18"/>
  <c r="AC83" i="18" s="1"/>
  <c r="T83" i="18"/>
  <c r="R83" i="18"/>
  <c r="J83" i="18"/>
  <c r="L83" i="18" s="1"/>
  <c r="U83" i="18" s="1"/>
  <c r="AD83" i="18" s="1"/>
  <c r="AH83" i="18" s="1"/>
  <c r="AO83" i="18" s="1"/>
  <c r="AL82" i="18"/>
  <c r="AC82" i="18"/>
  <c r="AA82" i="18"/>
  <c r="AG82" i="18" s="1"/>
  <c r="R82" i="18"/>
  <c r="T82" i="18" s="1"/>
  <c r="J82" i="18"/>
  <c r="L82" i="18" s="1"/>
  <c r="AL81" i="18"/>
  <c r="P35" i="17" s="1"/>
  <c r="AA81" i="18"/>
  <c r="AG81" i="18" s="1"/>
  <c r="T81" i="18"/>
  <c r="U81" i="18" s="1"/>
  <c r="R81" i="18"/>
  <c r="L81" i="18"/>
  <c r="J81" i="18"/>
  <c r="AL80" i="18"/>
  <c r="P34" i="17" s="1"/>
  <c r="AC80" i="18"/>
  <c r="S34" i="17" s="1"/>
  <c r="AA80" i="18"/>
  <c r="AG80" i="18" s="1"/>
  <c r="R80" i="18"/>
  <c r="T80" i="18" s="1"/>
  <c r="J80" i="18"/>
  <c r="L80" i="18" s="1"/>
  <c r="U80" i="18" s="1"/>
  <c r="AD80" i="18" s="1"/>
  <c r="AH80" i="18" s="1"/>
  <c r="AL79" i="18"/>
  <c r="P33" i="17" s="1"/>
  <c r="AA79" i="18"/>
  <c r="AG79" i="18" s="1"/>
  <c r="AC79" i="18"/>
  <c r="S33" i="17" s="1"/>
  <c r="R79" i="18"/>
  <c r="T79" i="18" s="1"/>
  <c r="J79" i="18"/>
  <c r="L79" i="18"/>
  <c r="U79" i="18" s="1"/>
  <c r="AL78" i="18"/>
  <c r="AA78" i="18"/>
  <c r="R78" i="18"/>
  <c r="T78" i="18"/>
  <c r="J78" i="18"/>
  <c r="L78" i="18" s="1"/>
  <c r="AL77" i="18"/>
  <c r="AA77" i="18"/>
  <c r="AG77" i="18"/>
  <c r="R77" i="18"/>
  <c r="T77" i="18" s="1"/>
  <c r="U77" i="18" s="1"/>
  <c r="AD77" i="18" s="1"/>
  <c r="AH77" i="18" s="1"/>
  <c r="J77" i="18"/>
  <c r="L77" i="18" s="1"/>
  <c r="AL76" i="18"/>
  <c r="P32" i="17" s="1"/>
  <c r="AG76" i="18"/>
  <c r="AA76" i="18"/>
  <c r="AC76" i="18" s="1"/>
  <c r="S32" i="17" s="1"/>
  <c r="R76" i="18"/>
  <c r="T76" i="18" s="1"/>
  <c r="U76" i="18" s="1"/>
  <c r="AD76" i="18" s="1"/>
  <c r="AH76" i="18" s="1"/>
  <c r="J76" i="18"/>
  <c r="L76" i="18" s="1"/>
  <c r="AL75" i="18"/>
  <c r="AG75" i="18"/>
  <c r="AA75" i="18"/>
  <c r="AC75" i="18" s="1"/>
  <c r="R75" i="18"/>
  <c r="T75" i="18" s="1"/>
  <c r="J75" i="18"/>
  <c r="L75" i="18" s="1"/>
  <c r="AL74" i="18"/>
  <c r="AA74" i="18"/>
  <c r="R74" i="18"/>
  <c r="T74" i="18" s="1"/>
  <c r="J74" i="18"/>
  <c r="L74" i="18" s="1"/>
  <c r="AL73" i="18"/>
  <c r="P31" i="17" s="1"/>
  <c r="AA73" i="18"/>
  <c r="AG73" i="18" s="1"/>
  <c r="R73" i="18"/>
  <c r="T73" i="18"/>
  <c r="J73" i="18"/>
  <c r="L73" i="18" s="1"/>
  <c r="AL72" i="18"/>
  <c r="AA72" i="18"/>
  <c r="R72" i="18"/>
  <c r="T72" i="18" s="1"/>
  <c r="J72" i="18"/>
  <c r="L72" i="18" s="1"/>
  <c r="AL71" i="18"/>
  <c r="AA71" i="18"/>
  <c r="AG71" i="18" s="1"/>
  <c r="T71" i="18"/>
  <c r="R71" i="18"/>
  <c r="J71" i="18"/>
  <c r="L71" i="18" s="1"/>
  <c r="U71" i="18" s="1"/>
  <c r="AD71" i="18" s="1"/>
  <c r="AH71" i="18" s="1"/>
  <c r="AO71" i="18" s="1"/>
  <c r="AL70" i="18"/>
  <c r="AA70" i="18"/>
  <c r="AG70" i="18" s="1"/>
  <c r="AC70" i="18"/>
  <c r="R70" i="18"/>
  <c r="T70" i="18" s="1"/>
  <c r="J70" i="18"/>
  <c r="L70" i="18" s="1"/>
  <c r="AL69" i="18"/>
  <c r="AA69" i="18"/>
  <c r="R69" i="18"/>
  <c r="T69" i="18" s="1"/>
  <c r="U69" i="18" s="1"/>
  <c r="AD69" i="18" s="1"/>
  <c r="AH69" i="18" s="1"/>
  <c r="AO69" i="18" s="1"/>
  <c r="J69" i="18"/>
  <c r="L69" i="18" s="1"/>
  <c r="AL68" i="18"/>
  <c r="AG68" i="18"/>
  <c r="AC68" i="18"/>
  <c r="AA68" i="18"/>
  <c r="R68" i="18"/>
  <c r="T68" i="18" s="1"/>
  <c r="J68" i="18"/>
  <c r="L68" i="18" s="1"/>
  <c r="AL67" i="18"/>
  <c r="AA67" i="18"/>
  <c r="AC67" i="18" s="1"/>
  <c r="T67" i="18"/>
  <c r="R67" i="18"/>
  <c r="J67" i="18"/>
  <c r="L67" i="18" s="1"/>
  <c r="AL66" i="18"/>
  <c r="AC66" i="18"/>
  <c r="AA66" i="18"/>
  <c r="AG66" i="18" s="1"/>
  <c r="R66" i="18"/>
  <c r="T66" i="18" s="1"/>
  <c r="J66" i="18"/>
  <c r="L66" i="18" s="1"/>
  <c r="U66" i="18" s="1"/>
  <c r="AL65" i="18"/>
  <c r="AA65" i="18"/>
  <c r="AG65" i="18" s="1"/>
  <c r="R65" i="18"/>
  <c r="T65" i="18" s="1"/>
  <c r="L65" i="18"/>
  <c r="J65" i="18"/>
  <c r="AL64" i="18"/>
  <c r="AA64" i="18"/>
  <c r="AG64" i="18" s="1"/>
  <c r="R64" i="18"/>
  <c r="T64" i="18" s="1"/>
  <c r="J64" i="18"/>
  <c r="L64" i="18" s="1"/>
  <c r="AL63" i="18"/>
  <c r="AA63" i="18"/>
  <c r="AG63" i="18" s="1"/>
  <c r="T63" i="18"/>
  <c r="R63" i="18"/>
  <c r="J63" i="18"/>
  <c r="L63" i="18" s="1"/>
  <c r="U63" i="18" s="1"/>
  <c r="AL62" i="18"/>
  <c r="P30" i="17" s="1"/>
  <c r="AA62" i="18"/>
  <c r="AG62" i="18" s="1"/>
  <c r="R62" i="18"/>
  <c r="T62" i="18" s="1"/>
  <c r="J62" i="18"/>
  <c r="L62" i="18" s="1"/>
  <c r="AL61" i="18"/>
  <c r="AA61" i="18"/>
  <c r="AG61" i="18" s="1"/>
  <c r="R61" i="18"/>
  <c r="T61" i="18" s="1"/>
  <c r="J61" i="18"/>
  <c r="L61" i="18" s="1"/>
  <c r="AL60" i="18"/>
  <c r="AG60" i="18"/>
  <c r="AA60" i="18"/>
  <c r="AC60" i="18" s="1"/>
  <c r="R60" i="18"/>
  <c r="T60" i="18"/>
  <c r="U60" i="18" s="1"/>
  <c r="AD60" i="18" s="1"/>
  <c r="AH60" i="18" s="1"/>
  <c r="J60" i="18"/>
  <c r="L60" i="18" s="1"/>
  <c r="AL59" i="18"/>
  <c r="P29" i="17" s="1"/>
  <c r="AG59" i="18"/>
  <c r="AA59" i="18"/>
  <c r="AC59" i="18" s="1"/>
  <c r="S29" i="17" s="1"/>
  <c r="R59" i="18"/>
  <c r="T59" i="18" s="1"/>
  <c r="U59" i="18" s="1"/>
  <c r="J59" i="18"/>
  <c r="L59" i="18" s="1"/>
  <c r="AL58" i="18"/>
  <c r="P28" i="17" s="1"/>
  <c r="AA58" i="18"/>
  <c r="AC58" i="18" s="1"/>
  <c r="R58" i="18"/>
  <c r="T58" i="18" s="1"/>
  <c r="J58" i="18"/>
  <c r="L58" i="18" s="1"/>
  <c r="AL57" i="18"/>
  <c r="AA57" i="18"/>
  <c r="R57" i="18"/>
  <c r="T57" i="18" s="1"/>
  <c r="L57" i="18"/>
  <c r="J57" i="18"/>
  <c r="AL56" i="18"/>
  <c r="AA56" i="18"/>
  <c r="AC56" i="18" s="1"/>
  <c r="R56" i="18"/>
  <c r="T56" i="18" s="1"/>
  <c r="J56" i="18"/>
  <c r="L56" i="18"/>
  <c r="U56" i="18" s="1"/>
  <c r="AD56" i="18" s="1"/>
  <c r="AH56" i="18" s="1"/>
  <c r="AO56" i="18" s="1"/>
  <c r="AL55" i="18"/>
  <c r="AA55" i="18"/>
  <c r="R55" i="18"/>
  <c r="T55" i="18" s="1"/>
  <c r="L55" i="18"/>
  <c r="J55" i="18"/>
  <c r="AL54" i="18"/>
  <c r="P27" i="17" s="1"/>
  <c r="AA54" i="18"/>
  <c r="R54" i="18"/>
  <c r="T54" i="18" s="1"/>
  <c r="J54" i="18"/>
  <c r="L54" i="18" s="1"/>
  <c r="AL53" i="18"/>
  <c r="P26" i="17" s="1"/>
  <c r="AA53" i="18"/>
  <c r="AG53" i="18" s="1"/>
  <c r="R53" i="18"/>
  <c r="T53" i="18" s="1"/>
  <c r="J53" i="18"/>
  <c r="L53" i="18" s="1"/>
  <c r="AL52" i="18"/>
  <c r="P25" i="17" s="1"/>
  <c r="R25" i="17" s="1"/>
  <c r="AA52" i="18"/>
  <c r="T52" i="18"/>
  <c r="R52" i="18"/>
  <c r="J52" i="18"/>
  <c r="L52" i="18" s="1"/>
  <c r="AL51" i="18"/>
  <c r="P24" i="17" s="1"/>
  <c r="AA51" i="18"/>
  <c r="AC51" i="18" s="1"/>
  <c r="S24" i="17" s="1"/>
  <c r="T51" i="18"/>
  <c r="R51" i="18"/>
  <c r="J51" i="18"/>
  <c r="L51" i="18" s="1"/>
  <c r="U51" i="18" s="1"/>
  <c r="AL50" i="18"/>
  <c r="AG50" i="18"/>
  <c r="AA50" i="18"/>
  <c r="AC50" i="18" s="1"/>
  <c r="R50" i="18"/>
  <c r="T50" i="18"/>
  <c r="U50" i="18" s="1"/>
  <c r="J50" i="18"/>
  <c r="L50" i="18" s="1"/>
  <c r="AL49" i="18"/>
  <c r="P23" i="17" s="1"/>
  <c r="AA49" i="18"/>
  <c r="R49" i="18"/>
  <c r="T49" i="18" s="1"/>
  <c r="U49" i="18" s="1"/>
  <c r="AD49" i="18" s="1"/>
  <c r="AH49" i="18" s="1"/>
  <c r="H23" i="17" s="1"/>
  <c r="J49" i="18"/>
  <c r="L49" i="18" s="1"/>
  <c r="AL48" i="18"/>
  <c r="AA48" i="18"/>
  <c r="R48" i="18"/>
  <c r="T48" i="18" s="1"/>
  <c r="J48" i="18"/>
  <c r="L48" i="18" s="1"/>
  <c r="AL47" i="18"/>
  <c r="AG47" i="18"/>
  <c r="AA47" i="18"/>
  <c r="AC47" i="18" s="1"/>
  <c r="R47" i="18"/>
  <c r="T47" i="18" s="1"/>
  <c r="J47" i="18"/>
  <c r="L47" i="18" s="1"/>
  <c r="AL46" i="18"/>
  <c r="P22" i="17" s="1"/>
  <c r="AC46" i="18"/>
  <c r="S22" i="17" s="1"/>
  <c r="AA46" i="18"/>
  <c r="AG46" i="18" s="1"/>
  <c r="R46" i="18"/>
  <c r="T46" i="18"/>
  <c r="J46" i="18"/>
  <c r="L46" i="18" s="1"/>
  <c r="U46" i="18" s="1"/>
  <c r="AD46" i="18" s="1"/>
  <c r="AH46" i="18" s="1"/>
  <c r="H22" i="17" s="1"/>
  <c r="AL45" i="18"/>
  <c r="P21" i="17" s="1"/>
  <c r="AA45" i="18"/>
  <c r="AG45" i="18"/>
  <c r="R45" i="18"/>
  <c r="T45" i="18" s="1"/>
  <c r="U45" i="18" s="1"/>
  <c r="AD45" i="18" s="1"/>
  <c r="AH45" i="18" s="1"/>
  <c r="J45" i="18"/>
  <c r="L45" i="18" s="1"/>
  <c r="AL44" i="18"/>
  <c r="P20" i="17" s="1"/>
  <c r="AG44" i="18"/>
  <c r="AA44" i="18"/>
  <c r="AC44" i="18" s="1"/>
  <c r="S20" i="17" s="1"/>
  <c r="R44" i="18"/>
  <c r="T44" i="18" s="1"/>
  <c r="J44" i="18"/>
  <c r="L44" i="18" s="1"/>
  <c r="AL43" i="18"/>
  <c r="AA43" i="18"/>
  <c r="AG43" i="18" s="1"/>
  <c r="T43" i="18"/>
  <c r="R43" i="18"/>
  <c r="J43" i="18"/>
  <c r="L43" i="18" s="1"/>
  <c r="U43" i="18" s="1"/>
  <c r="AL42" i="18"/>
  <c r="P19" i="17" s="1"/>
  <c r="AA42" i="18"/>
  <c r="R42" i="18"/>
  <c r="T42" i="18" s="1"/>
  <c r="J42" i="18"/>
  <c r="L42" i="18" s="1"/>
  <c r="AL41" i="18"/>
  <c r="P18" i="17" s="1"/>
  <c r="AA41" i="18"/>
  <c r="AC41" i="18" s="1"/>
  <c r="S18" i="17" s="1"/>
  <c r="AG41" i="18"/>
  <c r="R41" i="18"/>
  <c r="T41" i="18" s="1"/>
  <c r="J41" i="18"/>
  <c r="L41" i="18" s="1"/>
  <c r="AL40" i="18"/>
  <c r="AA40" i="18"/>
  <c r="R40" i="18"/>
  <c r="T40" i="18" s="1"/>
  <c r="J40" i="18"/>
  <c r="L40" i="18" s="1"/>
  <c r="AL39" i="18"/>
  <c r="AA39" i="18"/>
  <c r="AC39" i="18" s="1"/>
  <c r="T39" i="18"/>
  <c r="R39" i="18"/>
  <c r="J39" i="18"/>
  <c r="L39" i="18" s="1"/>
  <c r="AL38" i="18"/>
  <c r="P17" i="17" s="1"/>
  <c r="R17" i="17" s="1"/>
  <c r="AG38" i="18"/>
  <c r="AA38" i="18"/>
  <c r="AC38" i="18" s="1"/>
  <c r="S17" i="17" s="1"/>
  <c r="R38" i="18"/>
  <c r="T38" i="18"/>
  <c r="J38" i="18"/>
  <c r="L38" i="18" s="1"/>
  <c r="AL37" i="18"/>
  <c r="AA37" i="18"/>
  <c r="AG37" i="18"/>
  <c r="R37" i="18"/>
  <c r="T37" i="18" s="1"/>
  <c r="J37" i="18"/>
  <c r="L37" i="18" s="1"/>
  <c r="AL36" i="18"/>
  <c r="AC36" i="18"/>
  <c r="AA36" i="18"/>
  <c r="AG36" i="18" s="1"/>
  <c r="R36" i="18"/>
  <c r="T36" i="18" s="1"/>
  <c r="J36" i="18"/>
  <c r="L36" i="18" s="1"/>
  <c r="AL35" i="18"/>
  <c r="AA35" i="18"/>
  <c r="T35" i="18"/>
  <c r="R35" i="18"/>
  <c r="J35" i="18"/>
  <c r="L35" i="18" s="1"/>
  <c r="AL34" i="18"/>
  <c r="P16" i="17" s="1"/>
  <c r="AG34" i="18"/>
  <c r="AA34" i="18"/>
  <c r="AC34" i="18" s="1"/>
  <c r="S16" i="17" s="1"/>
  <c r="R34" i="18"/>
  <c r="T34" i="18"/>
  <c r="J34" i="18"/>
  <c r="L34" i="18" s="1"/>
  <c r="U34" i="18" s="1"/>
  <c r="AD34" i="18" s="1"/>
  <c r="AH34" i="18" s="1"/>
  <c r="AL33" i="18"/>
  <c r="AA33" i="18"/>
  <c r="R33" i="18"/>
  <c r="T33" i="18" s="1"/>
  <c r="U33" i="18" s="1"/>
  <c r="AD33" i="18" s="1"/>
  <c r="AH33" i="18" s="1"/>
  <c r="H49" i="17" s="1"/>
  <c r="L33" i="18"/>
  <c r="J33" i="18"/>
  <c r="AL32" i="18"/>
  <c r="P15" i="17" s="1"/>
  <c r="AG32" i="18"/>
  <c r="AC32" i="18"/>
  <c r="S15" i="17" s="1"/>
  <c r="AA32" i="18"/>
  <c r="R32" i="18"/>
  <c r="T32" i="18" s="1"/>
  <c r="J32" i="18"/>
  <c r="L32" i="18" s="1"/>
  <c r="U32" i="18" s="1"/>
  <c r="AD32" i="18" s="1"/>
  <c r="AH32" i="18" s="1"/>
  <c r="AL31" i="18"/>
  <c r="AG31" i="18"/>
  <c r="AA31" i="18"/>
  <c r="AC31" i="18" s="1"/>
  <c r="R31" i="18"/>
  <c r="T31" i="18" s="1"/>
  <c r="J31" i="18"/>
  <c r="L31" i="18" s="1"/>
  <c r="AL30" i="18"/>
  <c r="P14" i="17" s="1"/>
  <c r="AA30" i="18"/>
  <c r="R30" i="18"/>
  <c r="T30" i="18" s="1"/>
  <c r="J30" i="18"/>
  <c r="L30" i="18" s="1"/>
  <c r="AL29" i="18"/>
  <c r="AA29" i="18"/>
  <c r="AG29" i="18" s="1"/>
  <c r="T29" i="18"/>
  <c r="U29" i="18" s="1"/>
  <c r="AD29" i="18" s="1"/>
  <c r="AH29" i="18" s="1"/>
  <c r="R29" i="18"/>
  <c r="J29" i="18"/>
  <c r="L29" i="18" s="1"/>
  <c r="AL28" i="18"/>
  <c r="AC28" i="18"/>
  <c r="AA28" i="18"/>
  <c r="AG28" i="18" s="1"/>
  <c r="R28" i="18"/>
  <c r="T28" i="18" s="1"/>
  <c r="J28" i="18"/>
  <c r="L28" i="18" s="1"/>
  <c r="U28" i="18" s="1"/>
  <c r="AD28" i="18" s="1"/>
  <c r="AH28" i="18" s="1"/>
  <c r="AL27" i="18"/>
  <c r="AA27" i="18"/>
  <c r="AG27" i="18" s="1"/>
  <c r="R27" i="18"/>
  <c r="T27" i="18" s="1"/>
  <c r="U27" i="18" s="1"/>
  <c r="J27" i="18"/>
  <c r="L27" i="18" s="1"/>
  <c r="AL26" i="18"/>
  <c r="AA26" i="18"/>
  <c r="AG26" i="18" s="1"/>
  <c r="R26" i="18"/>
  <c r="T26" i="18" s="1"/>
  <c r="J26" i="18"/>
  <c r="L26" i="18"/>
  <c r="AL25" i="18"/>
  <c r="P13" i="17" s="1"/>
  <c r="AC25" i="18"/>
  <c r="S13" i="17" s="1"/>
  <c r="AA25" i="18"/>
  <c r="AG25" i="18"/>
  <c r="R25" i="18"/>
  <c r="T25" i="18" s="1"/>
  <c r="J25" i="18"/>
  <c r="L25" i="18" s="1"/>
  <c r="U25" i="18" s="1"/>
  <c r="AD25" i="18" s="1"/>
  <c r="AH25" i="18" s="1"/>
  <c r="AL24" i="18"/>
  <c r="AA24" i="18"/>
  <c r="AC24" i="18" s="1"/>
  <c r="R24" i="18"/>
  <c r="T24" i="18"/>
  <c r="J24" i="18"/>
  <c r="L24" i="18" s="1"/>
  <c r="AL23" i="18"/>
  <c r="AA23" i="18"/>
  <c r="R23" i="18"/>
  <c r="T23" i="18" s="1"/>
  <c r="J23" i="18"/>
  <c r="L23" i="18" s="1"/>
  <c r="AL22" i="18"/>
  <c r="AA22" i="18"/>
  <c r="AC22" i="18" s="1"/>
  <c r="R22" i="18"/>
  <c r="T22" i="18"/>
  <c r="J22" i="18"/>
  <c r="L22" i="18" s="1"/>
  <c r="U22" i="18" s="1"/>
  <c r="AL21" i="18"/>
  <c r="AA21" i="18"/>
  <c r="AG21" i="18" s="1"/>
  <c r="R21" i="18"/>
  <c r="T21" i="18" s="1"/>
  <c r="L21" i="18"/>
  <c r="J21" i="18"/>
  <c r="AL20" i="18"/>
  <c r="P12" i="17" s="1"/>
  <c r="AG20" i="18"/>
  <c r="AC20" i="18"/>
  <c r="S12" i="17" s="1"/>
  <c r="AA20" i="18"/>
  <c r="R20" i="18"/>
  <c r="T20" i="18" s="1"/>
  <c r="J20" i="18"/>
  <c r="L20" i="18" s="1"/>
  <c r="AL19" i="18"/>
  <c r="AG19" i="18"/>
  <c r="AJ19" i="18" s="1"/>
  <c r="AA19" i="18"/>
  <c r="AC19" i="18" s="1"/>
  <c r="R19" i="18"/>
  <c r="T19" i="18" s="1"/>
  <c r="J19" i="18"/>
  <c r="L19" i="18"/>
  <c r="U19" i="18" s="1"/>
  <c r="AD19" i="18" s="1"/>
  <c r="AH19" i="18" s="1"/>
  <c r="AO19" i="18" s="1"/>
  <c r="AL18" i="18"/>
  <c r="AA18" i="18"/>
  <c r="AG18" i="18" s="1"/>
  <c r="AC18" i="18"/>
  <c r="R18" i="18"/>
  <c r="T18" i="18" s="1"/>
  <c r="J18" i="18"/>
  <c r="L18" i="18" s="1"/>
  <c r="U18" i="18" s="1"/>
  <c r="AD18" i="18" s="1"/>
  <c r="AH18" i="18" s="1"/>
  <c r="AO18" i="18" s="1"/>
  <c r="AL17" i="18"/>
  <c r="AA17" i="18"/>
  <c r="R17" i="18"/>
  <c r="T17" i="18" s="1"/>
  <c r="J17" i="18"/>
  <c r="L17" i="18" s="1"/>
  <c r="AL16" i="18"/>
  <c r="AA16" i="18"/>
  <c r="AG16" i="18" s="1"/>
  <c r="R16" i="18"/>
  <c r="T16" i="18"/>
  <c r="J16" i="18"/>
  <c r="L16" i="18" s="1"/>
  <c r="U16" i="18" s="1"/>
  <c r="AL15" i="18"/>
  <c r="P11" i="17" s="1"/>
  <c r="AA15" i="18"/>
  <c r="R15" i="18"/>
  <c r="J15" i="18"/>
  <c r="L15" i="18" s="1"/>
  <c r="AL14" i="18"/>
  <c r="P10" i="17" s="1"/>
  <c r="AG14" i="18"/>
  <c r="AA14" i="18"/>
  <c r="AC14" i="18" s="1"/>
  <c r="S10" i="17" s="1"/>
  <c r="U14" i="18"/>
  <c r="AD14" i="18" s="1"/>
  <c r="AH14" i="18" s="1"/>
  <c r="H10" i="17" s="1"/>
  <c r="R14" i="18"/>
  <c r="T14" i="18" s="1"/>
  <c r="J14" i="18"/>
  <c r="L14" i="18" s="1"/>
  <c r="AL13" i="18"/>
  <c r="AA13" i="18"/>
  <c r="AG13" i="18" s="1"/>
  <c r="R13" i="18"/>
  <c r="T13" i="18"/>
  <c r="J13" i="18"/>
  <c r="L13" i="18" s="1"/>
  <c r="U13" i="18" s="1"/>
  <c r="AL12" i="18"/>
  <c r="AA12" i="18"/>
  <c r="R12" i="18"/>
  <c r="L12" i="18"/>
  <c r="J12" i="18"/>
  <c r="AQ6" i="18"/>
  <c r="R6" i="18"/>
  <c r="Q6" i="18"/>
  <c r="AQ5" i="18"/>
  <c r="AQ4" i="18"/>
  <c r="AA48" i="17"/>
  <c r="X50" i="17"/>
  <c r="X49" i="17"/>
  <c r="S48" i="17"/>
  <c r="I54" i="17"/>
  <c r="I53" i="17"/>
  <c r="AG39" i="18"/>
  <c r="AC85" i="18"/>
  <c r="S36" i="17" s="1"/>
  <c r="AG110" i="18"/>
  <c r="AC110" i="18"/>
  <c r="AD110" i="18" s="1"/>
  <c r="AH110" i="18" s="1"/>
  <c r="AC126" i="18"/>
  <c r="AC128" i="18"/>
  <c r="AG128" i="18"/>
  <c r="AC26" i="18"/>
  <c r="AC71" i="18"/>
  <c r="AG91" i="18"/>
  <c r="AD98" i="18"/>
  <c r="AH98" i="18" s="1"/>
  <c r="H40" i="17" s="1"/>
  <c r="AC115" i="18"/>
  <c r="AG115" i="18"/>
  <c r="AC124" i="18"/>
  <c r="AG124" i="18"/>
  <c r="AG12" i="18"/>
  <c r="AC16" i="18"/>
  <c r="AC23" i="18"/>
  <c r="AG23" i="18"/>
  <c r="AG33" i="18"/>
  <c r="AC33" i="18"/>
  <c r="AC62" i="18"/>
  <c r="S30" i="17" s="1"/>
  <c r="AG117" i="18"/>
  <c r="AC117" i="18"/>
  <c r="AC12" i="18"/>
  <c r="AC21" i="18"/>
  <c r="AG42" i="18"/>
  <c r="AC42" i="18"/>
  <c r="S19" i="17" s="1"/>
  <c r="AC53" i="18"/>
  <c r="S26" i="17" s="1"/>
  <c r="AG69" i="18"/>
  <c r="AC69" i="18"/>
  <c r="AG78" i="18"/>
  <c r="AC78" i="18"/>
  <c r="AC90" i="18"/>
  <c r="AG90" i="18"/>
  <c r="U93" i="18"/>
  <c r="AC103" i="18"/>
  <c r="S43" i="17" s="1"/>
  <c r="AG103" i="18"/>
  <c r="AJ103" i="18" s="1"/>
  <c r="AC114" i="18"/>
  <c r="AD121" i="18"/>
  <c r="AH121" i="18" s="1"/>
  <c r="AO121" i="18" s="1"/>
  <c r="AG142" i="18"/>
  <c r="AG49" i="18"/>
  <c r="AC49" i="18"/>
  <c r="S23" i="17" s="1"/>
  <c r="AD103" i="18"/>
  <c r="AH103" i="18" s="1"/>
  <c r="T12" i="18"/>
  <c r="U12" i="18" s="1"/>
  <c r="AD12" i="18" s="1"/>
  <c r="AC35" i="18"/>
  <c r="AG35" i="18"/>
  <c r="AC37" i="18"/>
  <c r="U96" i="18"/>
  <c r="AD96" i="18" s="1"/>
  <c r="AH96" i="18" s="1"/>
  <c r="AO96" i="18" s="1"/>
  <c r="AG97" i="18"/>
  <c r="AC97" i="18"/>
  <c r="S39" i="17" s="1"/>
  <c r="U65" i="18"/>
  <c r="AC65" i="18"/>
  <c r="AC81" i="18"/>
  <c r="S35" i="17" s="1"/>
  <c r="T35" i="17" s="1"/>
  <c r="AC89" i="18"/>
  <c r="AG106" i="18"/>
  <c r="AG113" i="18"/>
  <c r="AC113" i="18"/>
  <c r="U136" i="18"/>
  <c r="AD136" i="18"/>
  <c r="AH136" i="18" s="1"/>
  <c r="AO136" i="18" s="1"/>
  <c r="AG136" i="18"/>
  <c r="AC138" i="18"/>
  <c r="AC29" i="18"/>
  <c r="AC45" i="18"/>
  <c r="S21" i="17" s="1"/>
  <c r="U61" i="18"/>
  <c r="AC61" i="18"/>
  <c r="AG67" i="18"/>
  <c r="AC77" i="18"/>
  <c r="AG87" i="18"/>
  <c r="AC105" i="18"/>
  <c r="AG107" i="18"/>
  <c r="AJ107" i="18" s="1"/>
  <c r="AG122" i="18"/>
  <c r="AJ122" i="18" s="1"/>
  <c r="U123" i="18"/>
  <c r="AD123" i="18"/>
  <c r="AH123" i="18" s="1"/>
  <c r="AO123" i="18" s="1"/>
  <c r="AG127" i="18"/>
  <c r="AG134" i="18"/>
  <c r="AC134" i="18"/>
  <c r="AG140" i="18"/>
  <c r="AC140" i="18"/>
  <c r="AD140" i="18" s="1"/>
  <c r="AH140" i="18" s="1"/>
  <c r="U97" i="18"/>
  <c r="U142" i="18"/>
  <c r="AG144" i="18"/>
  <c r="AC144" i="18"/>
  <c r="AJ121" i="18"/>
  <c r="AO28" i="18"/>
  <c r="O26" i="17"/>
  <c r="R26" i="17" s="1"/>
  <c r="T26" i="17" s="1"/>
  <c r="O18" i="17"/>
  <c r="R18" i="17" s="1"/>
  <c r="T18" i="17" s="1"/>
  <c r="O30" i="17"/>
  <c r="O38" i="17"/>
  <c r="O37" i="17"/>
  <c r="R37" i="17" s="1"/>
  <c r="R35" i="17"/>
  <c r="O40" i="17"/>
  <c r="R40" i="17" s="1"/>
  <c r="T40" i="17" s="1"/>
  <c r="O34" i="17"/>
  <c r="O47" i="17"/>
  <c r="R47" i="17" s="1"/>
  <c r="T47" i="17" s="1"/>
  <c r="O42" i="17"/>
  <c r="O29" i="17"/>
  <c r="R29" i="17"/>
  <c r="O16" i="17"/>
  <c r="R16" i="17" s="1"/>
  <c r="T16" i="17" s="1"/>
  <c r="O20" i="17"/>
  <c r="O24" i="17"/>
  <c r="R24" i="17" s="1"/>
  <c r="O45" i="17"/>
  <c r="R45" i="17"/>
  <c r="O10" i="17"/>
  <c r="O14" i="17"/>
  <c r="R14" i="17" s="1"/>
  <c r="O11" i="17"/>
  <c r="O15" i="17"/>
  <c r="R15" i="17" s="1"/>
  <c r="T15" i="17" s="1"/>
  <c r="O23" i="17"/>
  <c r="R23" i="17" s="1"/>
  <c r="T23" i="17" s="1"/>
  <c r="U23" i="17" s="1"/>
  <c r="Z23" i="17" s="1"/>
  <c r="O31" i="17"/>
  <c r="R31" i="17" s="1"/>
  <c r="O39" i="17"/>
  <c r="R39" i="17" s="1"/>
  <c r="O43" i="17"/>
  <c r="R43" i="17"/>
  <c r="T43" i="17" s="1"/>
  <c r="R42" i="17"/>
  <c r="T42" i="17" s="1"/>
  <c r="U42" i="17" s="1"/>
  <c r="Z42" i="17" s="1"/>
  <c r="R38" i="17"/>
  <c r="R48" i="17"/>
  <c r="T48" i="17" s="1"/>
  <c r="U48" i="17" s="1"/>
  <c r="Z48" i="17" s="1"/>
  <c r="AB48" i="17" s="1"/>
  <c r="AC48" i="17" s="1"/>
  <c r="R11" i="17"/>
  <c r="R36" i="17"/>
  <c r="T36" i="17"/>
  <c r="R32" i="17"/>
  <c r="T32" i="17"/>
  <c r="R20" i="17"/>
  <c r="T20" i="17" s="1"/>
  <c r="R22" i="17"/>
  <c r="R44" i="17"/>
  <c r="T44" i="17"/>
  <c r="R30" i="17"/>
  <c r="T30" i="17"/>
  <c r="R28" i="17"/>
  <c r="R10" i="17"/>
  <c r="T10" i="17" s="1"/>
  <c r="U10" i="17" s="1"/>
  <c r="AO125" i="18" l="1"/>
  <c r="AJ125" i="18"/>
  <c r="AJ71" i="18"/>
  <c r="AO89" i="18"/>
  <c r="AJ89" i="18"/>
  <c r="AJ60" i="18"/>
  <c r="AO60" i="18"/>
  <c r="H32" i="17"/>
  <c r="AJ76" i="18"/>
  <c r="H47" i="17"/>
  <c r="AJ141" i="18"/>
  <c r="AJ144" i="18"/>
  <c r="AD13" i="18"/>
  <c r="AH13" i="18" s="1"/>
  <c r="AO13" i="18" s="1"/>
  <c r="AD88" i="18"/>
  <c r="AH88" i="18" s="1"/>
  <c r="AO88" i="18" s="1"/>
  <c r="AD90" i="18"/>
  <c r="AH90" i="18" s="1"/>
  <c r="AO90" i="18" s="1"/>
  <c r="AC118" i="18"/>
  <c r="AG118" i="18"/>
  <c r="AJ118" i="18" s="1"/>
  <c r="AC139" i="18"/>
  <c r="AG139" i="18"/>
  <c r="U47" i="17"/>
  <c r="Z47" i="17" s="1"/>
  <c r="AJ13" i="18"/>
  <c r="AD16" i="18"/>
  <c r="AH16" i="18" s="1"/>
  <c r="AC40" i="18"/>
  <c r="AG40" i="18"/>
  <c r="AC143" i="18"/>
  <c r="AG143" i="18"/>
  <c r="R34" i="17"/>
  <c r="T34" i="17" s="1"/>
  <c r="AJ136" i="18"/>
  <c r="AJ33" i="18"/>
  <c r="AA49" i="17" s="1"/>
  <c r="AD22" i="18"/>
  <c r="AH22" i="18" s="1"/>
  <c r="AO22" i="18" s="1"/>
  <c r="AG22" i="18"/>
  <c r="AG30" i="18"/>
  <c r="AC30" i="18"/>
  <c r="S14" i="17" s="1"/>
  <c r="T14" i="17" s="1"/>
  <c r="U55" i="18"/>
  <c r="U62" i="18"/>
  <c r="AD62" i="18" s="1"/>
  <c r="AH62" i="18" s="1"/>
  <c r="H30" i="17" s="1"/>
  <c r="U30" i="17" s="1"/>
  <c r="Z30" i="17" s="1"/>
  <c r="AD66" i="18"/>
  <c r="AH66" i="18" s="1"/>
  <c r="AO66" i="18" s="1"/>
  <c r="AD79" i="18"/>
  <c r="AH79" i="18" s="1"/>
  <c r="H33" i="17" s="1"/>
  <c r="AG88" i="18"/>
  <c r="AJ88" i="18" s="1"/>
  <c r="AC88" i="18"/>
  <c r="U108" i="18"/>
  <c r="AD108" i="18" s="1"/>
  <c r="AH108" i="18" s="1"/>
  <c r="AC116" i="18"/>
  <c r="S46" i="17" s="1"/>
  <c r="T46" i="17" s="1"/>
  <c r="AG116" i="18"/>
  <c r="AC130" i="18"/>
  <c r="AD130" i="18" s="1"/>
  <c r="AH130" i="18" s="1"/>
  <c r="U133" i="18"/>
  <c r="AD134" i="18"/>
  <c r="AH134" i="18" s="1"/>
  <c r="T22" i="17"/>
  <c r="U22" i="17" s="1"/>
  <c r="Z22" i="17" s="1"/>
  <c r="T39" i="17"/>
  <c r="T24" i="17"/>
  <c r="U40" i="17"/>
  <c r="Z40" i="17" s="1"/>
  <c r="AD97" i="18"/>
  <c r="AH97" i="18" s="1"/>
  <c r="J149" i="18"/>
  <c r="AJ46" i="18"/>
  <c r="AA22" i="17" s="1"/>
  <c r="AJ14" i="18"/>
  <c r="AA10" i="17" s="1"/>
  <c r="AC15" i="18"/>
  <c r="S11" i="17" s="1"/>
  <c r="T11" i="17" s="1"/>
  <c r="AG15" i="18"/>
  <c r="U37" i="18"/>
  <c r="AD37" i="18" s="1"/>
  <c r="AH37" i="18" s="1"/>
  <c r="T17" i="17"/>
  <c r="U41" i="18"/>
  <c r="AD41" i="18" s="1"/>
  <c r="AH41" i="18" s="1"/>
  <c r="AJ41" i="18" s="1"/>
  <c r="AA18" i="17" s="1"/>
  <c r="U47" i="18"/>
  <c r="AD47" i="18" s="1"/>
  <c r="AH47" i="18" s="1"/>
  <c r="AC64" i="18"/>
  <c r="AC73" i="18"/>
  <c r="S31" i="17" s="1"/>
  <c r="T31" i="17" s="1"/>
  <c r="AC93" i="18"/>
  <c r="AD93" i="18" s="1"/>
  <c r="AH93" i="18" s="1"/>
  <c r="U116" i="18"/>
  <c r="U118" i="18"/>
  <c r="AD118" i="18" s="1"/>
  <c r="AH118" i="18" s="1"/>
  <c r="AO118" i="18" s="1"/>
  <c r="U120" i="18"/>
  <c r="U138" i="18"/>
  <c r="AD138" i="18" s="1"/>
  <c r="AH138" i="18" s="1"/>
  <c r="AJ138" i="18" s="1"/>
  <c r="U144" i="18"/>
  <c r="T37" i="17"/>
  <c r="U70" i="18"/>
  <c r="AD70" i="18" s="1"/>
  <c r="AH70" i="18" s="1"/>
  <c r="AG72" i="18"/>
  <c r="AJ72" i="18" s="1"/>
  <c r="AC72" i="18"/>
  <c r="T29" i="17"/>
  <c r="AD61" i="18"/>
  <c r="AH61" i="18" s="1"/>
  <c r="AO61" i="18" s="1"/>
  <c r="U32" i="17"/>
  <c r="Z32" i="17" s="1"/>
  <c r="AD144" i="18"/>
  <c r="AH144" i="18" s="1"/>
  <c r="AO144" i="18" s="1"/>
  <c r="AG83" i="18"/>
  <c r="AJ83" i="18" s="1"/>
  <c r="AJ67" i="18"/>
  <c r="AJ106" i="18"/>
  <c r="AD65" i="18"/>
  <c r="AH65" i="18" s="1"/>
  <c r="AG58" i="18"/>
  <c r="AG51" i="18"/>
  <c r="AD124" i="18"/>
  <c r="AH124" i="18" s="1"/>
  <c r="AO124" i="18" s="1"/>
  <c r="AC13" i="18"/>
  <c r="U42" i="18"/>
  <c r="AD42" i="18" s="1"/>
  <c r="AH42" i="18" s="1"/>
  <c r="AD59" i="18"/>
  <c r="AH59" i="18" s="1"/>
  <c r="H29" i="17" s="1"/>
  <c r="U29" i="17" s="1"/>
  <c r="Z29" i="17" s="1"/>
  <c r="U82" i="18"/>
  <c r="AD82" i="18" s="1"/>
  <c r="AH82" i="18" s="1"/>
  <c r="U106" i="18"/>
  <c r="AD106" i="18" s="1"/>
  <c r="AH106" i="18" s="1"/>
  <c r="H44" i="17" s="1"/>
  <c r="U44" i="17" s="1"/>
  <c r="Z44" i="17" s="1"/>
  <c r="U117" i="18"/>
  <c r="AD117" i="18" s="1"/>
  <c r="AH117" i="18" s="1"/>
  <c r="AO117" i="18" s="1"/>
  <c r="U126" i="18"/>
  <c r="AC129" i="18"/>
  <c r="AG129" i="18"/>
  <c r="U131" i="18"/>
  <c r="AD131" i="18" s="1"/>
  <c r="AH131" i="18" s="1"/>
  <c r="U21" i="18"/>
  <c r="U23" i="18"/>
  <c r="AD23" i="18" s="1"/>
  <c r="AH23" i="18" s="1"/>
  <c r="AO23" i="18" s="1"/>
  <c r="U30" i="18"/>
  <c r="U38" i="18"/>
  <c r="U40" i="18"/>
  <c r="AD40" i="18" s="1"/>
  <c r="AH40" i="18" s="1"/>
  <c r="AO40" i="18" s="1"/>
  <c r="U54" i="18"/>
  <c r="U57" i="18"/>
  <c r="U58" i="18"/>
  <c r="U74" i="18"/>
  <c r="R33" i="17"/>
  <c r="T33" i="17" s="1"/>
  <c r="U86" i="18"/>
  <c r="U92" i="18"/>
  <c r="U94" i="18"/>
  <c r="AD94" i="18" s="1"/>
  <c r="AH94" i="18" s="1"/>
  <c r="U113" i="18"/>
  <c r="AD113" i="18" s="1"/>
  <c r="AH113" i="18" s="1"/>
  <c r="G52" i="23"/>
  <c r="AJ90" i="18"/>
  <c r="AL149" i="18"/>
  <c r="AJ28" i="18"/>
  <c r="U35" i="18"/>
  <c r="AD35" i="18" s="1"/>
  <c r="AH35" i="18" s="1"/>
  <c r="U39" i="18"/>
  <c r="AD39" i="18" s="1"/>
  <c r="AH39" i="18" s="1"/>
  <c r="U52" i="18"/>
  <c r="U67" i="18"/>
  <c r="AD67" i="18" s="1"/>
  <c r="AH67" i="18" s="1"/>
  <c r="AO67" i="18" s="1"/>
  <c r="U72" i="18"/>
  <c r="AD72" i="18" s="1"/>
  <c r="AH72" i="18" s="1"/>
  <c r="AO72" i="18" s="1"/>
  <c r="AJ104" i="18"/>
  <c r="U105" i="18"/>
  <c r="AD105" i="18" s="1"/>
  <c r="AH105" i="18" s="1"/>
  <c r="AC132" i="18"/>
  <c r="U137" i="18"/>
  <c r="AD137" i="18" s="1"/>
  <c r="AH137" i="18" s="1"/>
  <c r="AO137" i="18" s="1"/>
  <c r="U143" i="18"/>
  <c r="H39" i="17"/>
  <c r="U39" i="17" s="1"/>
  <c r="Z39" i="17" s="1"/>
  <c r="AJ97" i="18"/>
  <c r="AO65" i="18"/>
  <c r="AJ65" i="18"/>
  <c r="AE48" i="17"/>
  <c r="AD48" i="17"/>
  <c r="J46" i="21" s="1"/>
  <c r="L46" i="21" s="1"/>
  <c r="Z10" i="17"/>
  <c r="AH12" i="18"/>
  <c r="H21" i="17"/>
  <c r="AJ45" i="18"/>
  <c r="AA47" i="17"/>
  <c r="AA44" i="17"/>
  <c r="AC100" i="18"/>
  <c r="S41" i="17" s="1"/>
  <c r="AG100" i="18"/>
  <c r="AJ142" i="18"/>
  <c r="AA43" i="17"/>
  <c r="AJ110" i="18"/>
  <c r="AO110" i="18"/>
  <c r="AO29" i="18"/>
  <c r="AJ29" i="18"/>
  <c r="AO77" i="18"/>
  <c r="AJ77" i="18"/>
  <c r="AD81" i="18"/>
  <c r="AH81" i="18" s="1"/>
  <c r="AO128" i="18"/>
  <c r="AJ128" i="18"/>
  <c r="H19" i="17"/>
  <c r="AJ42" i="18"/>
  <c r="H13" i="17"/>
  <c r="AA32" i="17"/>
  <c r="AO138" i="18"/>
  <c r="AO140" i="18"/>
  <c r="AJ140" i="18"/>
  <c r="H36" i="17"/>
  <c r="U36" i="17" s="1"/>
  <c r="Z36" i="17" s="1"/>
  <c r="H43" i="17"/>
  <c r="U43" i="17" s="1"/>
  <c r="Z43" i="17" s="1"/>
  <c r="AJ25" i="18"/>
  <c r="H34" i="17"/>
  <c r="U34" i="17" s="1"/>
  <c r="Z34" i="17" s="1"/>
  <c r="AJ80" i="18"/>
  <c r="AJ69" i="18"/>
  <c r="U20" i="18"/>
  <c r="AD20" i="18" s="1"/>
  <c r="AH20" i="18" s="1"/>
  <c r="L149" i="18"/>
  <c r="T15" i="18"/>
  <c r="T149" i="18" s="1"/>
  <c r="R149" i="18"/>
  <c r="AD38" i="18"/>
  <c r="AH38" i="18" s="1"/>
  <c r="AO47" i="18"/>
  <c r="AJ47" i="18"/>
  <c r="AC86" i="18"/>
  <c r="AG86" i="18"/>
  <c r="T38" i="17"/>
  <c r="AJ49" i="18"/>
  <c r="H15" i="17"/>
  <c r="U15" i="17" s="1"/>
  <c r="Z15" i="17" s="1"/>
  <c r="AJ32" i="18"/>
  <c r="H16" i="17"/>
  <c r="U16" i="17" s="1"/>
  <c r="Z16" i="17" s="1"/>
  <c r="AJ34" i="18"/>
  <c r="AD50" i="18"/>
  <c r="AH50" i="18" s="1"/>
  <c r="H50" i="17"/>
  <c r="Y50" i="17" s="1"/>
  <c r="Z50" i="17" s="1"/>
  <c r="AJ82" i="18"/>
  <c r="AJ96" i="18"/>
  <c r="AD114" i="18"/>
  <c r="AH114" i="18" s="1"/>
  <c r="AC119" i="18"/>
  <c r="AD119" i="18" s="1"/>
  <c r="AH119" i="18" s="1"/>
  <c r="AO119" i="18" s="1"/>
  <c r="AG119" i="18"/>
  <c r="U15" i="18"/>
  <c r="AA149" i="18"/>
  <c r="H18" i="17"/>
  <c r="U18" i="17" s="1"/>
  <c r="Z18" i="17" s="1"/>
  <c r="AC54" i="18"/>
  <c r="S27" i="17" s="1"/>
  <c r="AG54" i="18"/>
  <c r="AG57" i="18"/>
  <c r="AC57" i="18"/>
  <c r="AD57" i="18" s="1"/>
  <c r="AH57" i="18" s="1"/>
  <c r="AO57" i="18" s="1"/>
  <c r="S28" i="17"/>
  <c r="T28" i="17" s="1"/>
  <c r="AD58" i="18"/>
  <c r="AH58" i="18" s="1"/>
  <c r="AD63" i="18"/>
  <c r="AH63" i="18" s="1"/>
  <c r="AO63" i="18" s="1"/>
  <c r="AG74" i="18"/>
  <c r="AC74" i="18"/>
  <c r="AJ98" i="18"/>
  <c r="AJ117" i="18"/>
  <c r="AJ85" i="18"/>
  <c r="U53" i="18"/>
  <c r="AD53" i="18" s="1"/>
  <c r="AH53" i="18" s="1"/>
  <c r="U68" i="18"/>
  <c r="AD68" i="18" s="1"/>
  <c r="AH68" i="18" s="1"/>
  <c r="AD86" i="18"/>
  <c r="AH86" i="18" s="1"/>
  <c r="AO86" i="18" s="1"/>
  <c r="AD91" i="18"/>
  <c r="AH91" i="18" s="1"/>
  <c r="AG112" i="18"/>
  <c r="AC112" i="18"/>
  <c r="AD112" i="18" s="1"/>
  <c r="AH112" i="18" s="1"/>
  <c r="AO112" i="18" s="1"/>
  <c r="AD132" i="18"/>
  <c r="AH132" i="18" s="1"/>
  <c r="U17" i="18"/>
  <c r="AC17" i="18"/>
  <c r="AG17" i="18"/>
  <c r="AD21" i="18"/>
  <c r="AH21" i="18" s="1"/>
  <c r="AO21" i="18" s="1"/>
  <c r="U24" i="18"/>
  <c r="AD24" i="18" s="1"/>
  <c r="AH24" i="18" s="1"/>
  <c r="AO24" i="18" s="1"/>
  <c r="U31" i="18"/>
  <c r="AD31" i="18" s="1"/>
  <c r="AH31" i="18" s="1"/>
  <c r="U44" i="18"/>
  <c r="AD44" i="18" s="1"/>
  <c r="AH44" i="18" s="1"/>
  <c r="AC55" i="18"/>
  <c r="AD55" i="18" s="1"/>
  <c r="AH55" i="18" s="1"/>
  <c r="AO55" i="18" s="1"/>
  <c r="AG55" i="18"/>
  <c r="U64" i="18"/>
  <c r="AD64" i="18" s="1"/>
  <c r="AH64" i="18" s="1"/>
  <c r="AD87" i="18"/>
  <c r="AH87" i="18" s="1"/>
  <c r="AG92" i="18"/>
  <c r="AC92" i="18"/>
  <c r="AC99" i="18"/>
  <c r="AD99" i="18" s="1"/>
  <c r="AH99" i="18" s="1"/>
  <c r="AO99" i="18" s="1"/>
  <c r="AG99" i="18"/>
  <c r="AD115" i="18"/>
  <c r="AH115" i="18" s="1"/>
  <c r="AC120" i="18"/>
  <c r="AG120" i="18"/>
  <c r="AJ124" i="18"/>
  <c r="Y49" i="17"/>
  <c r="AJ18" i="18"/>
  <c r="AJ20" i="18"/>
  <c r="AG24" i="18"/>
  <c r="AJ24" i="18" s="1"/>
  <c r="U26" i="18"/>
  <c r="AD26" i="18" s="1"/>
  <c r="AH26" i="18" s="1"/>
  <c r="U36" i="18"/>
  <c r="AD36" i="18" s="1"/>
  <c r="AH36" i="18" s="1"/>
  <c r="U48" i="18"/>
  <c r="AG48" i="18"/>
  <c r="AC48" i="18"/>
  <c r="AD51" i="18"/>
  <c r="AH51" i="18" s="1"/>
  <c r="AG52" i="18"/>
  <c r="AC52" i="18"/>
  <c r="S25" i="17" s="1"/>
  <c r="T25" i="17" s="1"/>
  <c r="U73" i="18"/>
  <c r="AD73" i="18" s="1"/>
  <c r="AH73" i="18" s="1"/>
  <c r="U75" i="18"/>
  <c r="AD75" i="18" s="1"/>
  <c r="AH75" i="18" s="1"/>
  <c r="AO75" i="18" s="1"/>
  <c r="U78" i="18"/>
  <c r="AD78" i="18" s="1"/>
  <c r="AH78" i="18" s="1"/>
  <c r="AO78" i="18" s="1"/>
  <c r="U84" i="18"/>
  <c r="AD84" i="18" s="1"/>
  <c r="AH84" i="18" s="1"/>
  <c r="AD126" i="18"/>
  <c r="AH126" i="18" s="1"/>
  <c r="AC27" i="18"/>
  <c r="AD27" i="18" s="1"/>
  <c r="AH27" i="18" s="1"/>
  <c r="AC43" i="18"/>
  <c r="AD43" i="18" s="1"/>
  <c r="AH43" i="18" s="1"/>
  <c r="AG56" i="18"/>
  <c r="AJ56" i="18" s="1"/>
  <c r="AC63" i="18"/>
  <c r="AC95" i="18"/>
  <c r="S38" i="17" s="1"/>
  <c r="AG101" i="18"/>
  <c r="AJ101" i="18" s="1"/>
  <c r="AC111" i="18"/>
  <c r="S45" i="17" s="1"/>
  <c r="T45" i="17" s="1"/>
  <c r="U135" i="18"/>
  <c r="AD135" i="18" s="1"/>
  <c r="AH135" i="18" s="1"/>
  <c r="AO135" i="18" s="1"/>
  <c r="AG137" i="18"/>
  <c r="AJ137" i="18" s="1"/>
  <c r="AG123" i="18"/>
  <c r="AJ123" i="18" s="1"/>
  <c r="U127" i="18"/>
  <c r="AD127" i="18" s="1"/>
  <c r="AH127" i="18" s="1"/>
  <c r="U129" i="18"/>
  <c r="AD129" i="18" s="1"/>
  <c r="AH129" i="18" s="1"/>
  <c r="AC133" i="18"/>
  <c r="AG135" i="18"/>
  <c r="U100" i="18"/>
  <c r="AD100" i="18" s="1"/>
  <c r="AH100" i="18" s="1"/>
  <c r="AC102" i="18"/>
  <c r="AD102" i="18" s="1"/>
  <c r="AH102" i="18" s="1"/>
  <c r="AC109" i="18"/>
  <c r="AD109" i="18" s="1"/>
  <c r="AH109" i="18" s="1"/>
  <c r="U111" i="18"/>
  <c r="R41" i="17"/>
  <c r="T41" i="17" s="1"/>
  <c r="R27" i="17"/>
  <c r="U139" i="18"/>
  <c r="AD139" i="18" s="1"/>
  <c r="AH139" i="18" s="1"/>
  <c r="R21" i="17"/>
  <c r="T21" i="17" s="1"/>
  <c r="U21" i="17" s="1"/>
  <c r="Z21" i="17" s="1"/>
  <c r="R12" i="17"/>
  <c r="T12" i="17" s="1"/>
  <c r="R13" i="17"/>
  <c r="T13" i="17" s="1"/>
  <c r="R19" i="17"/>
  <c r="T19" i="17" s="1"/>
  <c r="AO105" i="18" l="1"/>
  <c r="AJ105" i="18"/>
  <c r="AO130" i="18"/>
  <c r="AJ130" i="18"/>
  <c r="U33" i="17"/>
  <c r="Z33" i="17" s="1"/>
  <c r="AJ93" i="18"/>
  <c r="AO93" i="18"/>
  <c r="U46" i="17"/>
  <c r="Z46" i="17" s="1"/>
  <c r="AJ99" i="18"/>
  <c r="AO94" i="18"/>
  <c r="AJ94" i="18"/>
  <c r="AO70" i="18"/>
  <c r="AJ70" i="18"/>
  <c r="AO134" i="18"/>
  <c r="AJ134" i="18"/>
  <c r="AJ135" i="18"/>
  <c r="AD48" i="18"/>
  <c r="AH48" i="18" s="1"/>
  <c r="AO48" i="18" s="1"/>
  <c r="AJ61" i="18"/>
  <c r="AO131" i="18"/>
  <c r="AJ131" i="18"/>
  <c r="AO108" i="18"/>
  <c r="AJ108" i="18"/>
  <c r="AJ30" i="18"/>
  <c r="AA14" i="17" s="1"/>
  <c r="AG149" i="18"/>
  <c r="AJ59" i="18"/>
  <c r="AJ40" i="18"/>
  <c r="AD143" i="18"/>
  <c r="AH143" i="18" s="1"/>
  <c r="AO143" i="18" s="1"/>
  <c r="U13" i="17"/>
  <c r="Z13" i="17" s="1"/>
  <c r="AD133" i="18"/>
  <c r="AH133" i="18" s="1"/>
  <c r="AD120" i="18"/>
  <c r="AH120" i="18" s="1"/>
  <c r="AO120" i="18" s="1"/>
  <c r="AD92" i="18"/>
  <c r="AH92" i="18" s="1"/>
  <c r="AO92" i="18" s="1"/>
  <c r="AD74" i="18"/>
  <c r="AH74" i="18" s="1"/>
  <c r="AO74" i="18" s="1"/>
  <c r="AJ57" i="18"/>
  <c r="AJ119" i="18"/>
  <c r="AJ66" i="18"/>
  <c r="AJ21" i="18"/>
  <c r="AJ79" i="18"/>
  <c r="AA33" i="17" s="1"/>
  <c r="AO35" i="18"/>
  <c r="AJ35" i="18"/>
  <c r="AB52" i="23"/>
  <c r="AF52" i="23"/>
  <c r="Y52" i="23"/>
  <c r="AC52" i="23"/>
  <c r="AG52" i="23"/>
  <c r="Z52" i="23"/>
  <c r="AE52" i="23"/>
  <c r="X52" i="23"/>
  <c r="AD52" i="23"/>
  <c r="AH52" i="23"/>
  <c r="AA52" i="23"/>
  <c r="AI52" i="23"/>
  <c r="AD30" i="18"/>
  <c r="AH30" i="18" s="1"/>
  <c r="H14" i="17" s="1"/>
  <c r="U14" i="17" s="1"/>
  <c r="Z14" i="17" s="1"/>
  <c r="AD116" i="18"/>
  <c r="AH116" i="18" s="1"/>
  <c r="H46" i="17" s="1"/>
  <c r="AJ23" i="18"/>
  <c r="AJ22" i="18"/>
  <c r="T27" i="17"/>
  <c r="AJ74" i="18"/>
  <c r="AJ113" i="18"/>
  <c r="AO113" i="18"/>
  <c r="AJ16" i="18"/>
  <c r="AO16" i="18"/>
  <c r="AJ62" i="18"/>
  <c r="AA30" i="17" s="1"/>
  <c r="AJ27" i="18"/>
  <c r="AO27" i="18"/>
  <c r="AO102" i="18"/>
  <c r="AJ102" i="18"/>
  <c r="AJ133" i="18"/>
  <c r="AO133" i="18"/>
  <c r="AO43" i="18"/>
  <c r="AJ43" i="18"/>
  <c r="AJ55" i="18"/>
  <c r="AO68" i="18"/>
  <c r="AJ68" i="18"/>
  <c r="H17" i="17"/>
  <c r="U17" i="17" s="1"/>
  <c r="Z17" i="17" s="1"/>
  <c r="AJ38" i="18"/>
  <c r="O46" i="21"/>
  <c r="M46" i="21"/>
  <c r="H41" i="17"/>
  <c r="U41" i="17" s="1"/>
  <c r="Z41" i="17" s="1"/>
  <c r="AJ129" i="18"/>
  <c r="H24" i="17"/>
  <c r="U24" i="17" s="1"/>
  <c r="Z24" i="17" s="1"/>
  <c r="AO36" i="18"/>
  <c r="AJ36" i="18"/>
  <c r="H37" i="17"/>
  <c r="U37" i="17" s="1"/>
  <c r="Z37" i="17" s="1"/>
  <c r="AD17" i="18"/>
  <c r="AH17" i="18" s="1"/>
  <c r="AO17" i="18" s="1"/>
  <c r="AJ112" i="18"/>
  <c r="H26" i="17"/>
  <c r="U26" i="17" s="1"/>
  <c r="Z26" i="17" s="1"/>
  <c r="AJ53" i="18"/>
  <c r="AD95" i="18"/>
  <c r="AH95" i="18" s="1"/>
  <c r="H28" i="17"/>
  <c r="AJ75" i="18"/>
  <c r="AA15" i="17"/>
  <c r="AA23" i="17"/>
  <c r="AJ86" i="18"/>
  <c r="H12" i="17"/>
  <c r="AD52" i="18"/>
  <c r="AH52" i="18" s="1"/>
  <c r="AJ52" i="18" s="1"/>
  <c r="AO12" i="18"/>
  <c r="AJ12" i="18"/>
  <c r="AJ120" i="18"/>
  <c r="AO31" i="18"/>
  <c r="AJ31" i="18"/>
  <c r="AC149" i="18"/>
  <c r="Q4" i="18" s="1"/>
  <c r="AC150" i="18"/>
  <c r="R4" i="18" s="1"/>
  <c r="AA40" i="17"/>
  <c r="AA13" i="17"/>
  <c r="H35" i="17"/>
  <c r="U35" i="17" s="1"/>
  <c r="Z35" i="17" s="1"/>
  <c r="AJ81" i="18"/>
  <c r="U19" i="17"/>
  <c r="Z19" i="17" s="1"/>
  <c r="AD111" i="18"/>
  <c r="AH111" i="18" s="1"/>
  <c r="AO127" i="18"/>
  <c r="AJ127" i="18"/>
  <c r="AO126" i="18"/>
  <c r="AJ126" i="18"/>
  <c r="H31" i="17"/>
  <c r="U31" i="17" s="1"/>
  <c r="Z31" i="17" s="1"/>
  <c r="AJ73" i="18"/>
  <c r="AO26" i="18"/>
  <c r="AJ26" i="18"/>
  <c r="Y52" i="17"/>
  <c r="Z49" i="17"/>
  <c r="AO64" i="18"/>
  <c r="AJ64" i="18"/>
  <c r="AD54" i="18"/>
  <c r="AH54" i="18" s="1"/>
  <c r="AJ54" i="18" s="1"/>
  <c r="AJ78" i="18"/>
  <c r="AO91" i="18"/>
  <c r="AJ91" i="18"/>
  <c r="AA36" i="17"/>
  <c r="U28" i="17"/>
  <c r="Z28" i="17" s="1"/>
  <c r="AJ37" i="18"/>
  <c r="AO37" i="18"/>
  <c r="AO114" i="18"/>
  <c r="AJ114" i="18"/>
  <c r="AA50" i="17"/>
  <c r="AJ63" i="18"/>
  <c r="AA16" i="17"/>
  <c r="AJ87" i="18"/>
  <c r="AJ51" i="18"/>
  <c r="AO39" i="18"/>
  <c r="AJ39" i="18"/>
  <c r="AJ100" i="18"/>
  <c r="AA21" i="17"/>
  <c r="AJ58" i="18"/>
  <c r="U12" i="17"/>
  <c r="Z12" i="17" s="1"/>
  <c r="AA42" i="17"/>
  <c r="AA12" i="17"/>
  <c r="AO139" i="18"/>
  <c r="AJ139" i="18"/>
  <c r="AJ109" i="18"/>
  <c r="AO109" i="18"/>
  <c r="AO84" i="18"/>
  <c r="AJ84" i="18"/>
  <c r="AJ48" i="18"/>
  <c r="AO115" i="18"/>
  <c r="AJ115" i="18"/>
  <c r="H20" i="17"/>
  <c r="U20" i="17" s="1"/>
  <c r="Z20" i="17" s="1"/>
  <c r="AJ44" i="18"/>
  <c r="AJ17" i="18"/>
  <c r="AO132" i="18"/>
  <c r="AJ132" i="18"/>
  <c r="AA29" i="17"/>
  <c r="AD15" i="18"/>
  <c r="U149" i="18"/>
  <c r="Q3" i="18" s="1"/>
  <c r="AO50" i="18"/>
  <c r="AJ50" i="18"/>
  <c r="U150" i="18"/>
  <c r="R3" i="18" s="1"/>
  <c r="AA34" i="17"/>
  <c r="AA19" i="17"/>
  <c r="AA39" i="17"/>
  <c r="AJ92" i="18" l="1"/>
  <c r="AJ143" i="18"/>
  <c r="AJ116" i="18"/>
  <c r="AA46" i="17" s="1"/>
  <c r="H45" i="17"/>
  <c r="U45" i="17" s="1"/>
  <c r="Z45" i="17" s="1"/>
  <c r="AJ111" i="18"/>
  <c r="AA25" i="17"/>
  <c r="AA26" i="17"/>
  <c r="AH15" i="18"/>
  <c r="AD150" i="18"/>
  <c r="R5" i="18" s="1"/>
  <c r="AD149" i="18"/>
  <c r="Q5" i="18" s="1"/>
  <c r="AA28" i="17"/>
  <c r="AA37" i="17"/>
  <c r="AA31" i="17"/>
  <c r="AA20" i="17"/>
  <c r="H27" i="17"/>
  <c r="U27" i="17" s="1"/>
  <c r="Z27" i="17" s="1"/>
  <c r="AA35" i="17"/>
  <c r="H25" i="17"/>
  <c r="U25" i="17" s="1"/>
  <c r="Z25" i="17" s="1"/>
  <c r="H38" i="17"/>
  <c r="U38" i="17" s="1"/>
  <c r="Z38" i="17" s="1"/>
  <c r="AJ95" i="18"/>
  <c r="AA17" i="17"/>
  <c r="AA41" i="17"/>
  <c r="AA24" i="17"/>
  <c r="AA27" i="17"/>
  <c r="AA45" i="17" l="1"/>
  <c r="H11" i="17"/>
  <c r="AJ15" i="18"/>
  <c r="AH149" i="18"/>
  <c r="AA38" i="17"/>
  <c r="AA11" i="17" l="1"/>
  <c r="AJ150" i="18"/>
  <c r="AL3" i="18" s="1"/>
  <c r="AJ149" i="18"/>
  <c r="AK3" i="18" s="1"/>
  <c r="U11" i="17"/>
  <c r="H52" i="17"/>
  <c r="Z11" i="17" l="1"/>
  <c r="U52" i="17"/>
  <c r="AK131" i="18"/>
  <c r="AM131" i="18" s="1"/>
  <c r="AK104" i="18"/>
  <c r="AM104" i="18" s="1"/>
  <c r="AK46" i="18"/>
  <c r="AM46" i="18" s="1"/>
  <c r="AK116" i="18"/>
  <c r="AM116" i="18" s="1"/>
  <c r="AK141" i="18"/>
  <c r="AM141" i="18" s="1"/>
  <c r="AK143" i="18"/>
  <c r="AM143" i="18" s="1"/>
  <c r="AK134" i="18"/>
  <c r="AM134" i="18" s="1"/>
  <c r="AK28" i="18"/>
  <c r="AM28" i="18" s="1"/>
  <c r="AK89" i="18"/>
  <c r="AM89" i="18" s="1"/>
  <c r="AK67" i="18"/>
  <c r="AM67" i="18" s="1"/>
  <c r="AK76" i="18"/>
  <c r="AM76" i="18" s="1"/>
  <c r="AK83" i="18"/>
  <c r="AM83" i="18" s="1"/>
  <c r="AK60" i="18"/>
  <c r="AM60" i="18" s="1"/>
  <c r="AK23" i="18"/>
  <c r="AM23" i="18" s="1"/>
  <c r="AK30" i="18"/>
  <c r="AM30" i="18" s="1"/>
  <c r="AK121" i="18"/>
  <c r="AM121" i="18" s="1"/>
  <c r="AK62" i="18"/>
  <c r="AM62" i="18" s="1"/>
  <c r="AK125" i="18"/>
  <c r="AM125" i="18" s="1"/>
  <c r="AK70" i="18"/>
  <c r="AM70" i="18" s="1"/>
  <c r="AK94" i="18"/>
  <c r="AM94" i="18" s="1"/>
  <c r="AK113" i="18"/>
  <c r="AM113" i="18" s="1"/>
  <c r="AK90" i="18"/>
  <c r="AM90" i="18" s="1"/>
  <c r="AK130" i="18"/>
  <c r="AM130" i="18" s="1"/>
  <c r="AK19" i="18"/>
  <c r="AM19" i="18" s="1"/>
  <c r="AK106" i="18"/>
  <c r="AM106" i="18" s="1"/>
  <c r="AK71" i="18"/>
  <c r="AM71" i="18" s="1"/>
  <c r="AK103" i="18"/>
  <c r="AM103" i="18" s="1"/>
  <c r="AK33" i="18"/>
  <c r="AM33" i="18" s="1"/>
  <c r="AK118" i="18"/>
  <c r="AM118" i="18" s="1"/>
  <c r="AK107" i="18"/>
  <c r="AM107" i="18" s="1"/>
  <c r="AK72" i="18"/>
  <c r="AM72" i="18" s="1"/>
  <c r="AK138" i="18"/>
  <c r="AM138" i="18" s="1"/>
  <c r="AK108" i="18"/>
  <c r="AM108" i="18" s="1"/>
  <c r="AK13" i="18"/>
  <c r="AM13" i="18" s="1"/>
  <c r="AK35" i="18"/>
  <c r="AM35" i="18" s="1"/>
  <c r="AK144" i="18"/>
  <c r="AM144" i="18" s="1"/>
  <c r="AK136" i="18"/>
  <c r="AM136" i="18" s="1"/>
  <c r="AK88" i="18"/>
  <c r="AM88" i="18" s="1"/>
  <c r="AK122" i="18"/>
  <c r="AM122" i="18" s="1"/>
  <c r="AK16" i="18"/>
  <c r="AM16" i="18" s="1"/>
  <c r="AK22" i="18"/>
  <c r="AM22" i="18" s="1"/>
  <c r="AK41" i="18"/>
  <c r="AM41" i="18" s="1"/>
  <c r="AK14" i="18"/>
  <c r="AM14" i="18" s="1"/>
  <c r="AK18" i="18"/>
  <c r="AM18" i="18" s="1"/>
  <c r="AK49" i="18"/>
  <c r="AM49" i="18" s="1"/>
  <c r="AK137" i="18"/>
  <c r="AM137" i="18" s="1"/>
  <c r="AK57" i="18"/>
  <c r="AM57" i="18" s="1"/>
  <c r="AK21" i="18"/>
  <c r="AM21" i="18" s="1"/>
  <c r="AK99" i="18"/>
  <c r="AM99" i="18" s="1"/>
  <c r="AK119" i="18"/>
  <c r="AM119" i="18" s="1"/>
  <c r="AK34" i="18"/>
  <c r="AM34" i="18" s="1"/>
  <c r="AK69" i="18"/>
  <c r="AM69" i="18" s="1"/>
  <c r="AK77" i="18"/>
  <c r="AM77" i="18" s="1"/>
  <c r="AK105" i="18"/>
  <c r="AM105" i="18" s="1"/>
  <c r="AK101" i="18"/>
  <c r="AM101" i="18" s="1"/>
  <c r="AK135" i="18"/>
  <c r="AM135" i="18" s="1"/>
  <c r="AK124" i="18"/>
  <c r="AM124" i="18" s="1"/>
  <c r="AK59" i="18"/>
  <c r="AM59" i="18" s="1"/>
  <c r="AK80" i="18"/>
  <c r="AM80" i="18" s="1"/>
  <c r="AK29" i="18"/>
  <c r="AM29" i="18" s="1"/>
  <c r="AK32" i="18"/>
  <c r="AM32" i="18" s="1"/>
  <c r="AK85" i="18"/>
  <c r="AM85" i="18" s="1"/>
  <c r="AK82" i="18"/>
  <c r="AM82" i="18" s="1"/>
  <c r="AK117" i="18"/>
  <c r="AM117" i="18" s="1"/>
  <c r="AK98" i="18"/>
  <c r="AM98" i="18" s="1"/>
  <c r="AK25" i="18"/>
  <c r="AM25" i="18" s="1"/>
  <c r="AK40" i="18"/>
  <c r="AM40" i="18" s="1"/>
  <c r="AK142" i="18"/>
  <c r="AM142" i="18" s="1"/>
  <c r="AK45" i="18"/>
  <c r="AM45" i="18" s="1"/>
  <c r="AK56" i="18"/>
  <c r="AM56" i="18" s="1"/>
  <c r="AK74" i="18"/>
  <c r="AM74" i="18" s="1"/>
  <c r="AK65" i="18"/>
  <c r="AM65" i="18" s="1"/>
  <c r="AK128" i="18"/>
  <c r="AM128" i="18" s="1"/>
  <c r="AK20" i="18"/>
  <c r="AM20" i="18" s="1"/>
  <c r="AK96" i="18"/>
  <c r="AM96" i="18" s="1"/>
  <c r="AK123" i="18"/>
  <c r="AM123" i="18" s="1"/>
  <c r="AK93" i="18"/>
  <c r="AM93" i="18" s="1"/>
  <c r="AK110" i="18"/>
  <c r="AM110" i="18" s="1"/>
  <c r="AK97" i="18"/>
  <c r="AM97" i="18" s="1"/>
  <c r="AK47" i="18"/>
  <c r="AM47" i="18" s="1"/>
  <c r="AK140" i="18"/>
  <c r="AM140" i="18" s="1"/>
  <c r="AK79" i="18"/>
  <c r="AM79" i="18" s="1"/>
  <c r="AK66" i="18"/>
  <c r="AM66" i="18" s="1"/>
  <c r="AK24" i="18"/>
  <c r="AM24" i="18" s="1"/>
  <c r="AK42" i="18"/>
  <c r="AM42" i="18" s="1"/>
  <c r="AK61" i="18"/>
  <c r="AM61" i="18" s="1"/>
  <c r="AK115" i="18"/>
  <c r="AM115" i="18" s="1"/>
  <c r="AK102" i="18"/>
  <c r="AM102" i="18" s="1"/>
  <c r="AK129" i="18"/>
  <c r="AM129" i="18" s="1"/>
  <c r="AK48" i="18"/>
  <c r="AM48" i="18" s="1"/>
  <c r="AK63" i="18"/>
  <c r="AM63" i="18" s="1"/>
  <c r="AK36" i="18"/>
  <c r="AM36" i="18" s="1"/>
  <c r="AK73" i="18"/>
  <c r="AM73" i="18" s="1"/>
  <c r="AK114" i="18"/>
  <c r="AM114" i="18" s="1"/>
  <c r="AK75" i="18"/>
  <c r="AM75" i="18" s="1"/>
  <c r="AK31" i="18"/>
  <c r="AM31" i="18" s="1"/>
  <c r="AK92" i="18"/>
  <c r="AM92" i="18" s="1"/>
  <c r="AK109" i="18"/>
  <c r="AM109" i="18" s="1"/>
  <c r="AK126" i="18"/>
  <c r="AM126" i="18" s="1"/>
  <c r="AK55" i="18"/>
  <c r="AM55" i="18" s="1"/>
  <c r="AK139" i="18"/>
  <c r="AM139" i="18" s="1"/>
  <c r="AK87" i="18"/>
  <c r="AM87" i="18" s="1"/>
  <c r="AK44" i="18"/>
  <c r="AM44" i="18" s="1"/>
  <c r="AK81" i="18"/>
  <c r="AM81" i="18" s="1"/>
  <c r="AK38" i="18"/>
  <c r="AM38" i="18" s="1"/>
  <c r="AK100" i="18"/>
  <c r="AM100" i="18" s="1"/>
  <c r="AK26" i="18"/>
  <c r="AM26" i="18" s="1"/>
  <c r="AK43" i="18"/>
  <c r="AM43" i="18" s="1"/>
  <c r="AK78" i="18"/>
  <c r="AM78" i="18" s="1"/>
  <c r="AK17" i="18"/>
  <c r="AM17" i="18" s="1"/>
  <c r="AK53" i="18"/>
  <c r="AM53" i="18" s="1"/>
  <c r="AK58" i="18"/>
  <c r="AM58" i="18" s="1"/>
  <c r="AK132" i="18"/>
  <c r="AM132" i="18" s="1"/>
  <c r="AK37" i="18"/>
  <c r="AM37" i="18" s="1"/>
  <c r="AK86" i="18"/>
  <c r="AM86" i="18" s="1"/>
  <c r="AK112" i="18"/>
  <c r="AM112" i="18" s="1"/>
  <c r="AK133" i="18"/>
  <c r="AM133" i="18" s="1"/>
  <c r="AK51" i="18"/>
  <c r="AM51" i="18" s="1"/>
  <c r="AK91" i="18"/>
  <c r="AM91" i="18" s="1"/>
  <c r="AK27" i="18"/>
  <c r="AM27" i="18" s="1"/>
  <c r="AK64" i="18"/>
  <c r="AM64" i="18" s="1"/>
  <c r="AK52" i="18"/>
  <c r="AM52" i="18" s="1"/>
  <c r="AK12" i="18"/>
  <c r="AK50" i="18"/>
  <c r="AM50" i="18" s="1"/>
  <c r="AK84" i="18"/>
  <c r="AM84" i="18" s="1"/>
  <c r="AK127" i="18"/>
  <c r="AM127" i="18" s="1"/>
  <c r="AK120" i="18"/>
  <c r="AM120" i="18" s="1"/>
  <c r="AK68" i="18"/>
  <c r="AM68" i="18" s="1"/>
  <c r="AK54" i="18"/>
  <c r="AM54" i="18" s="1"/>
  <c r="AK39" i="18"/>
  <c r="AM39" i="18" s="1"/>
  <c r="AK111" i="18"/>
  <c r="AM111" i="18" s="1"/>
  <c r="AK95" i="18"/>
  <c r="AM95" i="18" s="1"/>
  <c r="AK15" i="18"/>
  <c r="AM15" i="18" s="1"/>
  <c r="AK150" i="18" l="1"/>
  <c r="AL4" i="18" s="1"/>
  <c r="AM12" i="18"/>
  <c r="AK149" i="18"/>
  <c r="AK4" i="18" s="1"/>
  <c r="Z52" i="17"/>
  <c r="AM150" i="18" l="1"/>
  <c r="AL5" i="18" s="1"/>
  <c r="AM149" i="18"/>
  <c r="AK5" i="18" s="1"/>
  <c r="AN100" i="18" s="1"/>
  <c r="AN46" i="18"/>
  <c r="AN23" i="18"/>
  <c r="AR23" i="18" s="1"/>
  <c r="AN31" i="18"/>
  <c r="AR31" i="18" s="1"/>
  <c r="AN108" i="18"/>
  <c r="AR108" i="18" s="1"/>
  <c r="AN114" i="18"/>
  <c r="AR114" i="18" s="1"/>
  <c r="AN44" i="18"/>
  <c r="AN91" i="18"/>
  <c r="AR91" i="18" s="1"/>
  <c r="AN69" i="18"/>
  <c r="AR69" i="18" s="1"/>
  <c r="AN142" i="18"/>
  <c r="AR142" i="18" s="1"/>
  <c r="AN17" i="18"/>
  <c r="AR17" i="18" s="1"/>
  <c r="AN141" i="18"/>
  <c r="AN133" i="18"/>
  <c r="AR133" i="18" s="1"/>
  <c r="AN15" i="18"/>
  <c r="AN19" i="18"/>
  <c r="AR19" i="18" s="1"/>
  <c r="AN16" i="18"/>
  <c r="AR16" i="18" s="1"/>
  <c r="AN119" i="18"/>
  <c r="AR119" i="18" s="1"/>
  <c r="AN79" i="18"/>
  <c r="AN129" i="18"/>
  <c r="AN38" i="18"/>
  <c r="AN13" i="18" l="1"/>
  <c r="AR13" i="18" s="1"/>
  <c r="AN62" i="18"/>
  <c r="AN47" i="18"/>
  <c r="AR47" i="18" s="1"/>
  <c r="AN86" i="18"/>
  <c r="AR86" i="18" s="1"/>
  <c r="AN127" i="18"/>
  <c r="AR127" i="18" s="1"/>
  <c r="AN22" i="18"/>
  <c r="AR22" i="18" s="1"/>
  <c r="AN81" i="18"/>
  <c r="AN41" i="18"/>
  <c r="AR41" i="18" s="1"/>
  <c r="F18" i="17" s="1"/>
  <c r="AN45" i="18"/>
  <c r="AN95" i="18"/>
  <c r="AN116" i="18"/>
  <c r="AN101" i="18"/>
  <c r="AR101" i="18" s="1"/>
  <c r="F42" i="17" s="1"/>
  <c r="AN92" i="18"/>
  <c r="AR92" i="18" s="1"/>
  <c r="AN25" i="18"/>
  <c r="AN138" i="18"/>
  <c r="AR138" i="18" s="1"/>
  <c r="AN40" i="18"/>
  <c r="AR40" i="18" s="1"/>
  <c r="AN85" i="18"/>
  <c r="AN106" i="18"/>
  <c r="AN102" i="18"/>
  <c r="AR102" i="18" s="1"/>
  <c r="AN111" i="18"/>
  <c r="AR111" i="18" s="1"/>
  <c r="F45" i="17" s="1"/>
  <c r="AN77" i="18"/>
  <c r="AR77" i="18" s="1"/>
  <c r="AN112" i="18"/>
  <c r="AR112" i="18" s="1"/>
  <c r="AN61" i="18"/>
  <c r="AR61" i="18" s="1"/>
  <c r="AN122" i="18"/>
  <c r="AR122" i="18" s="1"/>
  <c r="AN140" i="18"/>
  <c r="AR140" i="18" s="1"/>
  <c r="AN107" i="18"/>
  <c r="AR107" i="18" s="1"/>
  <c r="AN121" i="18"/>
  <c r="AR121" i="18" s="1"/>
  <c r="AN34" i="18"/>
  <c r="AR34" i="18" s="1"/>
  <c r="F16" i="17" s="1"/>
  <c r="AR38" i="18"/>
  <c r="F17" i="17" s="1"/>
  <c r="AO38" i="18"/>
  <c r="G17" i="17" s="1"/>
  <c r="AO141" i="18"/>
  <c r="G47" i="17" s="1"/>
  <c r="AR141" i="18"/>
  <c r="F47" i="17" s="1"/>
  <c r="AR129" i="18"/>
  <c r="AO129" i="18"/>
  <c r="AR81" i="18"/>
  <c r="F35" i="17" s="1"/>
  <c r="AO81" i="18"/>
  <c r="G35" i="17" s="1"/>
  <c r="AR45" i="18"/>
  <c r="F21" i="17" s="1"/>
  <c r="AO45" i="18"/>
  <c r="G21" i="17" s="1"/>
  <c r="AR95" i="18"/>
  <c r="F38" i="17" s="1"/>
  <c r="AO95" i="18"/>
  <c r="G38" i="17" s="1"/>
  <c r="AR116" i="18"/>
  <c r="F46" i="17" s="1"/>
  <c r="AO116" i="18"/>
  <c r="G46" i="17" s="1"/>
  <c r="AR85" i="18"/>
  <c r="F36" i="17" s="1"/>
  <c r="AO85" i="18"/>
  <c r="G36" i="17" s="1"/>
  <c r="AO106" i="18"/>
  <c r="G44" i="17" s="1"/>
  <c r="AR106" i="18"/>
  <c r="F44" i="17" s="1"/>
  <c r="AO111" i="18"/>
  <c r="G45" i="17" s="1"/>
  <c r="AR44" i="18"/>
  <c r="F20" i="17" s="1"/>
  <c r="AO44" i="18"/>
  <c r="G20" i="17" s="1"/>
  <c r="AR62" i="18"/>
  <c r="F30" i="17" s="1"/>
  <c r="AO62" i="18"/>
  <c r="G30" i="17" s="1"/>
  <c r="AN26" i="18"/>
  <c r="AR26" i="18" s="1"/>
  <c r="AN63" i="18"/>
  <c r="AR63" i="18" s="1"/>
  <c r="AN96" i="18"/>
  <c r="AR96" i="18" s="1"/>
  <c r="AN80" i="18"/>
  <c r="AN14" i="18"/>
  <c r="AN103" i="18"/>
  <c r="AN76" i="18"/>
  <c r="AN84" i="18"/>
  <c r="AR84" i="18" s="1"/>
  <c r="AN43" i="18"/>
  <c r="AR43" i="18" s="1"/>
  <c r="AN18" i="18"/>
  <c r="AR18" i="18" s="1"/>
  <c r="AN37" i="18"/>
  <c r="AR37" i="18" s="1"/>
  <c r="AN67" i="18"/>
  <c r="AR67" i="18" s="1"/>
  <c r="AN75" i="18"/>
  <c r="AR75" i="18" s="1"/>
  <c r="AN82" i="18"/>
  <c r="AN30" i="18"/>
  <c r="AN110" i="18"/>
  <c r="AR110" i="18" s="1"/>
  <c r="AN73" i="18"/>
  <c r="AN32" i="18"/>
  <c r="AN118" i="18"/>
  <c r="AR118" i="18" s="1"/>
  <c r="AN39" i="18"/>
  <c r="AR39" i="18" s="1"/>
  <c r="AN105" i="18"/>
  <c r="AR105" i="18" s="1"/>
  <c r="AN50" i="18"/>
  <c r="AR50" i="18" s="1"/>
  <c r="AN123" i="18"/>
  <c r="AR123" i="18" s="1"/>
  <c r="AN33" i="18"/>
  <c r="AN59" i="18"/>
  <c r="AN53" i="18"/>
  <c r="AN97" i="18"/>
  <c r="AN72" i="18"/>
  <c r="AR72" i="18" s="1"/>
  <c r="AN125" i="18"/>
  <c r="AR125" i="18" s="1"/>
  <c r="AN78" i="18"/>
  <c r="AR78" i="18" s="1"/>
  <c r="AN93" i="18"/>
  <c r="AR93" i="18" s="1"/>
  <c r="AN49" i="18"/>
  <c r="AN60" i="18"/>
  <c r="AR60" i="18" s="1"/>
  <c r="AN48" i="18"/>
  <c r="AR48" i="18" s="1"/>
  <c r="AN90" i="18"/>
  <c r="AR90" i="18" s="1"/>
  <c r="AN36" i="18"/>
  <c r="AR36" i="18" s="1"/>
  <c r="AN29" i="18"/>
  <c r="AR29" i="18" s="1"/>
  <c r="AN83" i="18"/>
  <c r="AR83" i="18" s="1"/>
  <c r="AN57" i="18"/>
  <c r="AR57" i="18" s="1"/>
  <c r="AN104" i="18"/>
  <c r="AR104" i="18" s="1"/>
  <c r="AN128" i="18"/>
  <c r="AR128" i="18" s="1"/>
  <c r="AN89" i="18"/>
  <c r="AR89" i="18" s="1"/>
  <c r="AN143" i="18"/>
  <c r="AR143" i="18" s="1"/>
  <c r="AN65" i="18"/>
  <c r="AR65" i="18" s="1"/>
  <c r="AN28" i="18"/>
  <c r="AR28" i="18" s="1"/>
  <c r="AN147" i="18"/>
  <c r="AN139" i="18"/>
  <c r="AR139" i="18" s="1"/>
  <c r="AN136" i="18"/>
  <c r="AR136" i="18" s="1"/>
  <c r="AN20" i="18"/>
  <c r="AN55" i="18"/>
  <c r="AR55" i="18" s="1"/>
  <c r="AN144" i="18"/>
  <c r="AR144" i="18" s="1"/>
  <c r="AN71" i="18"/>
  <c r="AR71" i="18" s="1"/>
  <c r="AN115" i="18"/>
  <c r="AR115" i="18" s="1"/>
  <c r="AN130" i="18"/>
  <c r="AR130" i="18" s="1"/>
  <c r="AN54" i="18"/>
  <c r="AN98" i="18"/>
  <c r="AN131" i="18"/>
  <c r="AR131" i="18" s="1"/>
  <c r="AN68" i="18"/>
  <c r="AR68" i="18" s="1"/>
  <c r="AN117" i="18"/>
  <c r="AR117" i="18" s="1"/>
  <c r="AN52" i="18"/>
  <c r="AN126" i="18"/>
  <c r="AR126" i="18" s="1"/>
  <c r="AN35" i="18"/>
  <c r="AR35" i="18" s="1"/>
  <c r="AN12" i="18"/>
  <c r="AN64" i="18"/>
  <c r="AR64" i="18" s="1"/>
  <c r="AN124" i="18"/>
  <c r="AR124" i="18" s="1"/>
  <c r="AN51" i="18"/>
  <c r="AN27" i="18"/>
  <c r="AR27" i="18" s="1"/>
  <c r="AN135" i="18"/>
  <c r="AR135" i="18" s="1"/>
  <c r="AN109" i="18"/>
  <c r="AR109" i="18" s="1"/>
  <c r="AN137" i="18"/>
  <c r="AR137" i="18" s="1"/>
  <c r="AN42" i="18"/>
  <c r="AN113" i="18"/>
  <c r="AR113" i="18" s="1"/>
  <c r="AN88" i="18"/>
  <c r="AR88" i="18" s="1"/>
  <c r="AN24" i="18"/>
  <c r="AR24" i="18" s="1"/>
  <c r="AN94" i="18"/>
  <c r="AR94" i="18" s="1"/>
  <c r="AN120" i="18"/>
  <c r="AR120" i="18" s="1"/>
  <c r="AN74" i="18"/>
  <c r="AR74" i="18" s="1"/>
  <c r="AN134" i="18"/>
  <c r="AR134" i="18" s="1"/>
  <c r="AN132" i="18"/>
  <c r="AR132" i="18" s="1"/>
  <c r="AN99" i="18"/>
  <c r="AR99" i="18" s="1"/>
  <c r="AN87" i="18"/>
  <c r="AN58" i="18"/>
  <c r="AN21" i="18"/>
  <c r="AR21" i="18" s="1"/>
  <c r="AN56" i="18"/>
  <c r="AR56" i="18" s="1"/>
  <c r="AN66" i="18"/>
  <c r="AR66" i="18" s="1"/>
  <c r="AN70" i="18"/>
  <c r="AR70" i="18" s="1"/>
  <c r="AR79" i="18"/>
  <c r="F33" i="17" s="1"/>
  <c r="AO79" i="18"/>
  <c r="G33" i="17" s="1"/>
  <c r="AR15" i="18"/>
  <c r="F11" i="17" s="1"/>
  <c r="AO15" i="18"/>
  <c r="G11" i="17" s="1"/>
  <c r="AR25" i="18"/>
  <c r="F13" i="17" s="1"/>
  <c r="AO25" i="18"/>
  <c r="G13" i="17" s="1"/>
  <c r="AO46" i="18"/>
  <c r="G22" i="17" s="1"/>
  <c r="AR46" i="18"/>
  <c r="F22" i="17" s="1"/>
  <c r="AR100" i="18"/>
  <c r="F41" i="17" s="1"/>
  <c r="AO100" i="18"/>
  <c r="G41" i="17" s="1"/>
  <c r="AO34" i="18" l="1"/>
  <c r="G16" i="17" s="1"/>
  <c r="AO101" i="18"/>
  <c r="G42" i="17" s="1"/>
  <c r="AO41" i="18"/>
  <c r="G18" i="17" s="1"/>
  <c r="AR53" i="18"/>
  <c r="F26" i="17" s="1"/>
  <c r="AO53" i="18"/>
  <c r="G26" i="17" s="1"/>
  <c r="AB47" i="17"/>
  <c r="AC47" i="17" s="1"/>
  <c r="AB11" i="17"/>
  <c r="AC11" i="17" s="1"/>
  <c r="AR87" i="18"/>
  <c r="F37" i="17" s="1"/>
  <c r="AO87" i="18"/>
  <c r="G37" i="17" s="1"/>
  <c r="AR20" i="18"/>
  <c r="F12" i="17" s="1"/>
  <c r="AO20" i="18"/>
  <c r="G12" i="17" s="1"/>
  <c r="AR59" i="18"/>
  <c r="F29" i="17" s="1"/>
  <c r="AO59" i="18"/>
  <c r="G29" i="17" s="1"/>
  <c r="AR73" i="18"/>
  <c r="F31" i="17" s="1"/>
  <c r="AO73" i="18"/>
  <c r="G31" i="17" s="1"/>
  <c r="AR14" i="18"/>
  <c r="F10" i="17" s="1"/>
  <c r="AO14" i="18"/>
  <c r="AB30" i="17"/>
  <c r="AC30" i="17" s="1"/>
  <c r="AB45" i="17"/>
  <c r="AC45" i="17" s="1"/>
  <c r="AB36" i="17"/>
  <c r="AC36" i="17" s="1"/>
  <c r="AB46" i="17"/>
  <c r="AC46" i="17" s="1"/>
  <c r="AB21" i="17"/>
  <c r="AC21" i="17" s="1"/>
  <c r="AB35" i="17"/>
  <c r="AC35" i="17" s="1"/>
  <c r="AR32" i="18"/>
  <c r="F15" i="17" s="1"/>
  <c r="AO32" i="18"/>
  <c r="G15" i="17" s="1"/>
  <c r="AR103" i="18"/>
  <c r="F43" i="17" s="1"/>
  <c r="AO103" i="18"/>
  <c r="G43" i="17" s="1"/>
  <c r="AR52" i="18"/>
  <c r="F25" i="17" s="1"/>
  <c r="AO52" i="18"/>
  <c r="G25" i="17" s="1"/>
  <c r="AO98" i="18"/>
  <c r="G40" i="17" s="1"/>
  <c r="AR98" i="18"/>
  <c r="F40" i="17" s="1"/>
  <c r="AR49" i="18"/>
  <c r="F23" i="17" s="1"/>
  <c r="AO49" i="18"/>
  <c r="G23" i="17" s="1"/>
  <c r="AO33" i="18"/>
  <c r="G49" i="17" s="1"/>
  <c r="AR33" i="18"/>
  <c r="F49" i="17" s="1"/>
  <c r="AR80" i="18"/>
  <c r="F34" i="17" s="1"/>
  <c r="AO80" i="18"/>
  <c r="G34" i="17" s="1"/>
  <c r="AB44" i="17"/>
  <c r="AC44" i="17" s="1"/>
  <c r="AB22" i="17"/>
  <c r="AC22" i="17" s="1"/>
  <c r="AR58" i="18"/>
  <c r="F28" i="17" s="1"/>
  <c r="AO58" i="18"/>
  <c r="G28" i="17" s="1"/>
  <c r="AR51" i="18"/>
  <c r="F24" i="17" s="1"/>
  <c r="AO51" i="18"/>
  <c r="G24" i="17" s="1"/>
  <c r="AR82" i="18"/>
  <c r="F50" i="17" s="1"/>
  <c r="AO82" i="18"/>
  <c r="G50" i="17" s="1"/>
  <c r="AB41" i="17"/>
  <c r="AC41" i="17" s="1"/>
  <c r="AB13" i="17"/>
  <c r="AC13" i="17" s="1"/>
  <c r="AB33" i="17"/>
  <c r="AC33" i="17" s="1"/>
  <c r="AR42" i="18"/>
  <c r="F19" i="17" s="1"/>
  <c r="AO42" i="18"/>
  <c r="G19" i="17" s="1"/>
  <c r="AR12" i="18"/>
  <c r="AN149" i="18"/>
  <c r="AN150" i="18"/>
  <c r="AR54" i="18"/>
  <c r="F27" i="17" s="1"/>
  <c r="AO54" i="18"/>
  <c r="G27" i="17" s="1"/>
  <c r="AR97" i="18"/>
  <c r="F39" i="17" s="1"/>
  <c r="AO97" i="18"/>
  <c r="G39" i="17" s="1"/>
  <c r="AR30" i="18"/>
  <c r="F14" i="17" s="1"/>
  <c r="AO30" i="18"/>
  <c r="G14" i="17" s="1"/>
  <c r="AO76" i="18"/>
  <c r="G32" i="17" s="1"/>
  <c r="AR76" i="18"/>
  <c r="F32" i="17" s="1"/>
  <c r="AB16" i="17"/>
  <c r="AC16" i="17" s="1"/>
  <c r="AB20" i="17"/>
  <c r="AC20" i="17" s="1"/>
  <c r="AC42" i="17"/>
  <c r="AB42" i="17"/>
  <c r="AB38" i="17"/>
  <c r="AC38" i="17" s="1"/>
  <c r="AC18" i="17"/>
  <c r="AB18" i="17"/>
  <c r="AB17" i="17"/>
  <c r="AC17" i="17" s="1"/>
  <c r="AD13" i="17" l="1"/>
  <c r="J9" i="21" s="1"/>
  <c r="L9" i="21" s="1"/>
  <c r="AE13" i="17"/>
  <c r="AD45" i="17"/>
  <c r="J43" i="21" s="1"/>
  <c r="L43" i="21" s="1"/>
  <c r="AE45" i="17"/>
  <c r="AE44" i="17"/>
  <c r="AD44" i="17"/>
  <c r="J42" i="21" s="1"/>
  <c r="L42" i="21" s="1"/>
  <c r="AD21" i="17"/>
  <c r="J25" i="21" s="1"/>
  <c r="L25" i="21" s="1"/>
  <c r="AE21" i="17"/>
  <c r="AE30" i="17"/>
  <c r="AD30" i="17"/>
  <c r="J31" i="21" s="1"/>
  <c r="L31" i="21" s="1"/>
  <c r="AE47" i="17"/>
  <c r="AD47" i="17"/>
  <c r="J45" i="21" s="1"/>
  <c r="L45" i="21" s="1"/>
  <c r="AE22" i="17"/>
  <c r="AD22" i="17"/>
  <c r="J12" i="21" s="1"/>
  <c r="L12" i="21" s="1"/>
  <c r="AE11" i="17"/>
  <c r="AD11" i="17"/>
  <c r="J6" i="21" s="1"/>
  <c r="L6" i="21" s="1"/>
  <c r="AE46" i="17"/>
  <c r="AD46" i="17"/>
  <c r="J19" i="21" s="1"/>
  <c r="L19" i="21" s="1"/>
  <c r="AE38" i="17"/>
  <c r="AD38" i="17"/>
  <c r="J37" i="21" s="1"/>
  <c r="L37" i="21" s="1"/>
  <c r="AE35" i="17"/>
  <c r="AD35" i="17"/>
  <c r="J15" i="21" s="1"/>
  <c r="L15" i="21" s="1"/>
  <c r="AD17" i="17"/>
  <c r="J23" i="21" s="1"/>
  <c r="L23" i="21" s="1"/>
  <c r="AE17" i="17"/>
  <c r="AD41" i="17"/>
  <c r="J40" i="21" s="1"/>
  <c r="L40" i="21" s="1"/>
  <c r="AE41" i="17"/>
  <c r="AE20" i="17"/>
  <c r="AD20" i="17"/>
  <c r="J11" i="21" s="1"/>
  <c r="L11" i="21" s="1"/>
  <c r="AD33" i="17"/>
  <c r="J34" i="21" s="1"/>
  <c r="L34" i="21" s="1"/>
  <c r="AE33" i="17"/>
  <c r="AE36" i="17"/>
  <c r="AD36" i="17"/>
  <c r="J17" i="21" s="1"/>
  <c r="L17" i="21" s="1"/>
  <c r="AE42" i="17"/>
  <c r="AD42" i="17"/>
  <c r="J41" i="21" s="1"/>
  <c r="L41" i="21" s="1"/>
  <c r="AB27" i="17"/>
  <c r="AC27" i="17" s="1"/>
  <c r="AB40" i="17"/>
  <c r="AC40" i="17" s="1"/>
  <c r="AB19" i="17"/>
  <c r="AC19" i="17" s="1"/>
  <c r="AB50" i="17"/>
  <c r="AC50" i="17" s="1"/>
  <c r="AB28" i="17"/>
  <c r="AC28" i="17" s="1"/>
  <c r="AB43" i="17"/>
  <c r="AC43" i="17" s="1"/>
  <c r="AB29" i="17"/>
  <c r="AC29" i="17" s="1"/>
  <c r="AB37" i="17"/>
  <c r="AC37" i="17" s="1"/>
  <c r="AE18" i="17"/>
  <c r="AD18" i="17"/>
  <c r="J24" i="21" s="1"/>
  <c r="L24" i="21" s="1"/>
  <c r="AE16" i="17"/>
  <c r="AD16" i="17"/>
  <c r="J22" i="21" s="1"/>
  <c r="L22" i="21" s="1"/>
  <c r="G10" i="17"/>
  <c r="G52" i="17" s="1"/>
  <c r="AO150" i="18"/>
  <c r="AL7" i="18" s="1"/>
  <c r="AO149" i="18"/>
  <c r="AK7" i="18" s="1"/>
  <c r="AB39" i="17"/>
  <c r="AC39" i="17" s="1"/>
  <c r="AB14" i="17"/>
  <c r="AC14" i="17" s="1"/>
  <c r="AB49" i="17"/>
  <c r="AC49" i="17" s="1"/>
  <c r="AB32" i="17"/>
  <c r="AC32" i="17" s="1"/>
  <c r="AR149" i="18"/>
  <c r="AR150" i="18"/>
  <c r="AB24" i="17"/>
  <c r="AC24" i="17" s="1"/>
  <c r="AB34" i="17"/>
  <c r="AC34" i="17" s="1"/>
  <c r="AB23" i="17"/>
  <c r="AC23" i="17" s="1"/>
  <c r="AB25" i="17"/>
  <c r="AC25" i="17" s="1"/>
  <c r="AB15" i="17"/>
  <c r="AC15" i="17" s="1"/>
  <c r="AB31" i="17"/>
  <c r="AC31" i="17" s="1"/>
  <c r="AB12" i="17"/>
  <c r="AC12" i="17" s="1"/>
  <c r="AB26" i="17"/>
  <c r="AC26" i="17" s="1"/>
  <c r="AB10" i="17" l="1"/>
  <c r="AB52" i="17" s="1"/>
  <c r="AE43" i="17"/>
  <c r="AD43" i="17"/>
  <c r="J18" i="21" s="1"/>
  <c r="L18" i="21" s="1"/>
  <c r="AD37" i="17"/>
  <c r="J36" i="21" s="1"/>
  <c r="L36" i="21" s="1"/>
  <c r="AE37" i="17"/>
  <c r="AE27" i="17"/>
  <c r="AD27" i="17"/>
  <c r="J29" i="21" s="1"/>
  <c r="L29" i="21" s="1"/>
  <c r="AE40" i="17"/>
  <c r="AD40" i="17"/>
  <c r="J39" i="21" s="1"/>
  <c r="L39" i="21" s="1"/>
  <c r="AE50" i="17"/>
  <c r="AD50" i="17"/>
  <c r="J16" i="21" s="1"/>
  <c r="L16" i="21" s="1"/>
  <c r="AE28" i="17"/>
  <c r="AD28" i="17"/>
  <c r="J30" i="21" s="1"/>
  <c r="L30" i="21" s="1"/>
  <c r="AD29" i="17"/>
  <c r="J14" i="21" s="1"/>
  <c r="L14" i="21" s="1"/>
  <c r="AE29" i="17"/>
  <c r="AE19" i="17"/>
  <c r="AD19" i="17"/>
  <c r="J44" i="21" s="1"/>
  <c r="L44" i="21" s="1"/>
  <c r="AE26" i="17"/>
  <c r="AD26" i="17"/>
  <c r="J28" i="21" s="1"/>
  <c r="L28" i="21" s="1"/>
  <c r="AE34" i="17"/>
  <c r="AD34" i="17"/>
  <c r="J35" i="21" s="1"/>
  <c r="L35" i="21" s="1"/>
  <c r="O11" i="21"/>
  <c r="M11" i="21"/>
  <c r="O6" i="21"/>
  <c r="M6" i="21"/>
  <c r="AC10" i="17"/>
  <c r="M23" i="21"/>
  <c r="O23" i="21"/>
  <c r="O25" i="21"/>
  <c r="M25" i="21"/>
  <c r="M43" i="21"/>
  <c r="O43" i="21"/>
  <c r="AD49" i="17"/>
  <c r="J21" i="21" s="1"/>
  <c r="L21" i="21" s="1"/>
  <c r="AE49" i="17"/>
  <c r="AE39" i="17"/>
  <c r="AD39" i="17"/>
  <c r="J38" i="21" s="1"/>
  <c r="L38" i="21" s="1"/>
  <c r="M41" i="21"/>
  <c r="O41" i="21"/>
  <c r="O15" i="21"/>
  <c r="M15" i="21"/>
  <c r="M19" i="21"/>
  <c r="O19" i="21"/>
  <c r="O12" i="21"/>
  <c r="M12" i="21"/>
  <c r="O31" i="21"/>
  <c r="M31" i="21"/>
  <c r="M42" i="21"/>
  <c r="O42" i="21"/>
  <c r="AE31" i="17"/>
  <c r="AD31" i="17"/>
  <c r="J32" i="21" s="1"/>
  <c r="L32" i="21" s="1"/>
  <c r="AD25" i="17"/>
  <c r="J27" i="21" s="1"/>
  <c r="L27" i="21" s="1"/>
  <c r="AE25" i="17"/>
  <c r="O22" i="21"/>
  <c r="M22" i="21"/>
  <c r="O17" i="21"/>
  <c r="M17" i="21"/>
  <c r="O37" i="21"/>
  <c r="M37" i="21"/>
  <c r="O45" i="21"/>
  <c r="M45" i="21"/>
  <c r="AE12" i="17"/>
  <c r="AD12" i="17"/>
  <c r="J7" i="21" s="1"/>
  <c r="L7" i="21" s="1"/>
  <c r="AE15" i="17"/>
  <c r="AD15" i="17"/>
  <c r="J20" i="21" s="1"/>
  <c r="L20" i="21" s="1"/>
  <c r="AE23" i="17"/>
  <c r="AD23" i="17"/>
  <c r="J13" i="21" s="1"/>
  <c r="L13" i="21" s="1"/>
  <c r="AE24" i="17"/>
  <c r="AD24" i="17"/>
  <c r="J26" i="21" s="1"/>
  <c r="L26" i="21" s="1"/>
  <c r="AE32" i="17"/>
  <c r="AD32" i="17"/>
  <c r="J33" i="21" s="1"/>
  <c r="L33" i="21" s="1"/>
  <c r="AE14" i="17"/>
  <c r="AD14" i="17"/>
  <c r="J10" i="21" s="1"/>
  <c r="L10" i="21" s="1"/>
  <c r="M24" i="21"/>
  <c r="O24" i="21"/>
  <c r="O34" i="21"/>
  <c r="M34" i="21"/>
  <c r="M40" i="21"/>
  <c r="O40" i="21"/>
  <c r="O9" i="21"/>
  <c r="M9" i="21"/>
  <c r="O13" i="21" l="1"/>
  <c r="M13" i="21"/>
  <c r="R13" i="22"/>
  <c r="K13" i="22"/>
  <c r="V13" i="22"/>
  <c r="L13" i="22"/>
  <c r="E13" i="22"/>
  <c r="T13" i="22"/>
  <c r="AA13" i="22"/>
  <c r="U13" i="22"/>
  <c r="S13" i="22"/>
  <c r="W13" i="22"/>
  <c r="H13" i="22"/>
  <c r="O13" i="22"/>
  <c r="N13" i="22"/>
  <c r="Z13" i="22"/>
  <c r="P13" i="22"/>
  <c r="Q13" i="22"/>
  <c r="M13" i="22"/>
  <c r="D13" i="22"/>
  <c r="F13" i="22"/>
  <c r="I13" i="22"/>
  <c r="Y13" i="22"/>
  <c r="J13" i="22"/>
  <c r="G13" i="22"/>
  <c r="X13" i="22"/>
  <c r="I14" i="22"/>
  <c r="N14" i="22"/>
  <c r="V14" i="22"/>
  <c r="X14" i="22"/>
  <c r="W14" i="22"/>
  <c r="G14" i="22"/>
  <c r="K14" i="22"/>
  <c r="S14" i="22"/>
  <c r="M14" i="22"/>
  <c r="J14" i="22"/>
  <c r="E14" i="22"/>
  <c r="Y14" i="22"/>
  <c r="Q14" i="22"/>
  <c r="Z14" i="22"/>
  <c r="P14" i="22"/>
  <c r="L14" i="22"/>
  <c r="H14" i="22"/>
  <c r="U14" i="22"/>
  <c r="R14" i="22"/>
  <c r="F14" i="22"/>
  <c r="D14" i="22"/>
  <c r="T14" i="22"/>
  <c r="AA14" i="22"/>
  <c r="O14" i="22"/>
  <c r="AA8" i="22"/>
  <c r="P8" i="22"/>
  <c r="W8" i="22"/>
  <c r="Y8" i="22"/>
  <c r="U8" i="22"/>
  <c r="I8" i="22"/>
  <c r="R8" i="22"/>
  <c r="L8" i="22"/>
  <c r="S8" i="22"/>
  <c r="T8" i="22"/>
  <c r="V8" i="22"/>
  <c r="E8" i="22"/>
  <c r="F8" i="22"/>
  <c r="J8" i="22"/>
  <c r="Z8" i="22"/>
  <c r="K8" i="22"/>
  <c r="H8" i="22"/>
  <c r="M8" i="22"/>
  <c r="G8" i="22"/>
  <c r="D8" i="22"/>
  <c r="O8" i="22"/>
  <c r="X8" i="22"/>
  <c r="N8" i="22"/>
  <c r="Q8" i="22"/>
  <c r="M30" i="21"/>
  <c r="O30" i="21"/>
  <c r="O26" i="21"/>
  <c r="M26" i="21"/>
  <c r="O38" i="21"/>
  <c r="M38" i="21"/>
  <c r="O36" i="21"/>
  <c r="M36" i="21"/>
  <c r="M33" i="21"/>
  <c r="O33" i="21"/>
  <c r="M7" i="21"/>
  <c r="O7" i="21"/>
  <c r="M21" i="21"/>
  <c r="O21" i="21"/>
  <c r="O35" i="21"/>
  <c r="M35" i="21"/>
  <c r="O44" i="21"/>
  <c r="M44" i="21"/>
  <c r="D16" i="22" s="1"/>
  <c r="O39" i="21"/>
  <c r="M39" i="21"/>
  <c r="O10" i="21"/>
  <c r="M10" i="21"/>
  <c r="O20" i="21"/>
  <c r="M20" i="21"/>
  <c r="R10" i="22"/>
  <c r="U10" i="22"/>
  <c r="J10" i="22"/>
  <c r="T10" i="22"/>
  <c r="H10" i="22"/>
  <c r="I10" i="22"/>
  <c r="F10" i="22"/>
  <c r="O10" i="22"/>
  <c r="N10" i="22"/>
  <c r="V10" i="22"/>
  <c r="W10" i="22"/>
  <c r="L10" i="22"/>
  <c r="X10" i="22"/>
  <c r="Y10" i="22"/>
  <c r="AA10" i="22"/>
  <c r="D10" i="22"/>
  <c r="Q10" i="22"/>
  <c r="P10" i="22"/>
  <c r="M10" i="22"/>
  <c r="S10" i="22"/>
  <c r="Z10" i="22"/>
  <c r="K10" i="22"/>
  <c r="G10" i="22"/>
  <c r="E10" i="22"/>
  <c r="O27" i="21"/>
  <c r="M27" i="21"/>
  <c r="X15" i="22"/>
  <c r="N15" i="22"/>
  <c r="H15" i="22"/>
  <c r="Y15" i="22"/>
  <c r="W15" i="22"/>
  <c r="D15" i="22"/>
  <c r="V15" i="22"/>
  <c r="Z15" i="22"/>
  <c r="O15" i="22"/>
  <c r="T15" i="22"/>
  <c r="L15" i="22"/>
  <c r="U15" i="22"/>
  <c r="M15" i="22"/>
  <c r="I15" i="22"/>
  <c r="K15" i="22"/>
  <c r="G15" i="22"/>
  <c r="AA15" i="22"/>
  <c r="J15" i="22"/>
  <c r="P15" i="22"/>
  <c r="S15" i="22"/>
  <c r="E15" i="22"/>
  <c r="Q15" i="22"/>
  <c r="F15" i="22"/>
  <c r="R15" i="22"/>
  <c r="O28" i="21"/>
  <c r="M28" i="21"/>
  <c r="O16" i="21"/>
  <c r="M16" i="21"/>
  <c r="M29" i="21"/>
  <c r="O29" i="21"/>
  <c r="O18" i="21"/>
  <c r="M18" i="21"/>
  <c r="O32" i="21"/>
  <c r="M32" i="21"/>
  <c r="AE10" i="17"/>
  <c r="AD10" i="17"/>
  <c r="J8" i="21" s="1"/>
  <c r="L8" i="21" s="1"/>
  <c r="M14" i="21"/>
  <c r="O14" i="21"/>
  <c r="AA11" i="22" l="1"/>
  <c r="Z11" i="22"/>
  <c r="J11" i="22"/>
  <c r="V11" i="22"/>
  <c r="I11" i="22"/>
  <c r="K11" i="22"/>
  <c r="S11" i="22"/>
  <c r="D11" i="22"/>
  <c r="P11" i="22"/>
  <c r="Y11" i="22"/>
  <c r="R11" i="22"/>
  <c r="U11" i="22"/>
  <c r="G11" i="22"/>
  <c r="F11" i="22"/>
  <c r="Q11" i="22"/>
  <c r="W11" i="22"/>
  <c r="H11" i="22"/>
  <c r="N11" i="22"/>
  <c r="E11" i="22"/>
  <c r="M11" i="22"/>
  <c r="X11" i="22"/>
  <c r="O11" i="22"/>
  <c r="L11" i="22"/>
  <c r="T11" i="22"/>
  <c r="R12" i="22"/>
  <c r="S12" i="22"/>
  <c r="P12" i="22"/>
  <c r="AA12" i="22"/>
  <c r="J12" i="22"/>
  <c r="O12" i="22"/>
  <c r="U12" i="22"/>
  <c r="W12" i="22"/>
  <c r="E12" i="22"/>
  <c r="H12" i="22"/>
  <c r="X12" i="22"/>
  <c r="D12" i="22"/>
  <c r="G12" i="22"/>
  <c r="Y12" i="22"/>
  <c r="Z12" i="22"/>
  <c r="N12" i="22"/>
  <c r="I12" i="22"/>
  <c r="V12" i="22"/>
  <c r="L12" i="22"/>
  <c r="Q12" i="22"/>
  <c r="K12" i="22"/>
  <c r="F12" i="22"/>
  <c r="T12" i="22"/>
  <c r="M12" i="22"/>
  <c r="O8" i="21"/>
  <c r="O48" i="21" s="1"/>
  <c r="M8" i="21"/>
  <c r="F9" i="22"/>
  <c r="V9" i="22"/>
  <c r="R9" i="22"/>
  <c r="K9" i="22"/>
  <c r="J9" i="22"/>
  <c r="G9" i="22"/>
  <c r="AA9" i="22"/>
  <c r="L9" i="22"/>
  <c r="E9" i="22"/>
  <c r="M9" i="22"/>
  <c r="P9" i="22"/>
  <c r="Q9" i="22"/>
  <c r="S9" i="22"/>
  <c r="T9" i="22"/>
  <c r="Y9" i="22"/>
  <c r="H9" i="22"/>
  <c r="I9" i="22"/>
  <c r="N9" i="22"/>
  <c r="W9" i="22"/>
  <c r="D9" i="22"/>
  <c r="Z9" i="22"/>
  <c r="U9" i="22"/>
  <c r="X9" i="22"/>
  <c r="O9" i="22"/>
  <c r="O16" i="22"/>
  <c r="U16" i="22"/>
  <c r="P16" i="22"/>
  <c r="V16" i="22"/>
  <c r="M16" i="22"/>
  <c r="J16" i="22"/>
  <c r="K16" i="22"/>
  <c r="L16" i="22"/>
  <c r="G16" i="22"/>
  <c r="Q16" i="22"/>
  <c r="S16" i="22"/>
  <c r="Z16" i="22"/>
  <c r="N16" i="22"/>
  <c r="E16" i="22"/>
  <c r="T16" i="22"/>
  <c r="Y16" i="22"/>
  <c r="AA16" i="22"/>
  <c r="F16" i="22"/>
  <c r="I16" i="22"/>
  <c r="X16" i="22"/>
  <c r="W16" i="22"/>
  <c r="H16" i="22"/>
  <c r="R16" i="22"/>
</calcChain>
</file>

<file path=xl/sharedStrings.xml><?xml version="1.0" encoding="utf-8"?>
<sst xmlns="http://schemas.openxmlformats.org/spreadsheetml/2006/main" count="935" uniqueCount="501">
  <si>
    <t>BES No</t>
  </si>
  <si>
    <t>Cus No</t>
  </si>
  <si>
    <t>aMW</t>
  </si>
  <si>
    <t>ASHLAND</t>
  </si>
  <si>
    <t>ASOTIN</t>
  </si>
  <si>
    <t>BENTON PUD</t>
  </si>
  <si>
    <t>BLACHLY-LANE</t>
  </si>
  <si>
    <t>CASCADE LOCKS</t>
  </si>
  <si>
    <t>CHEWELAH</t>
  </si>
  <si>
    <t>CLARK PUD</t>
  </si>
  <si>
    <t>CLATSKANIE PUD</t>
  </si>
  <si>
    <t>CLEARWATER</t>
  </si>
  <si>
    <t>COLUMBIA RIVER PUD</t>
  </si>
  <si>
    <t>COOS-CURRY</t>
  </si>
  <si>
    <t>COULEE DAM</t>
  </si>
  <si>
    <t>COWLITZ</t>
  </si>
  <si>
    <t>DECLO</t>
  </si>
  <si>
    <t>DOUGLAS ELEC COOP</t>
  </si>
  <si>
    <t>DRAIN</t>
  </si>
  <si>
    <t>ELLENSBURG</t>
  </si>
  <si>
    <t>EMERALD</t>
  </si>
  <si>
    <t>ENW</t>
  </si>
  <si>
    <t>EWEB</t>
  </si>
  <si>
    <t>FAIRCHILD</t>
  </si>
  <si>
    <t>FLATHEAD</t>
  </si>
  <si>
    <t>FOREST GROVE</t>
  </si>
  <si>
    <t>FRANKLIN PUD</t>
  </si>
  <si>
    <t>GRAYS HARBOR PUD</t>
  </si>
  <si>
    <t>IDAHO FALLS</t>
  </si>
  <si>
    <t>KLICKITAT PUD</t>
  </si>
  <si>
    <t>LAKEVIEW</t>
  </si>
  <si>
    <t>LEWIS PUD</t>
  </si>
  <si>
    <t>LINCOLN MT</t>
  </si>
  <si>
    <t>MASON PUD1</t>
  </si>
  <si>
    <t>MASON PUD3</t>
  </si>
  <si>
    <t>MCCLEARY</t>
  </si>
  <si>
    <t>MCMINNVILLE</t>
  </si>
  <si>
    <t>MILTON-FREEWATER</t>
  </si>
  <si>
    <t>MISSION VALLEY</t>
  </si>
  <si>
    <t>OKANOGAN PUD</t>
  </si>
  <si>
    <t>ORCAS</t>
  </si>
  <si>
    <t>OREGON TRAIL</t>
  </si>
  <si>
    <t>PACIFIC PUD</t>
  </si>
  <si>
    <t>PARKLAND</t>
  </si>
  <si>
    <t>PEND OREILLE PUD</t>
  </si>
  <si>
    <t>PLUMMER</t>
  </si>
  <si>
    <t>RAFT RIVER</t>
  </si>
  <si>
    <t>SALEM ELEC</t>
  </si>
  <si>
    <t>SEATTLE</t>
  </si>
  <si>
    <t>SNOHOMISH PUD</t>
  </si>
  <si>
    <t>SODA SPRINGS</t>
  </si>
  <si>
    <t>TACOMA</t>
  </si>
  <si>
    <t>WESTOREGON</t>
  </si>
  <si>
    <t>Total</t>
  </si>
  <si>
    <t>Notes:</t>
  </si>
  <si>
    <t>Customer Name</t>
  </si>
  <si>
    <t>CHWM</t>
  </si>
  <si>
    <t>YAKAMA</t>
  </si>
  <si>
    <t>Provisional CHWM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</si>
  <si>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</si>
  <si>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</si>
  <si>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</si>
  <si>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</si>
  <si>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</si>
  <si>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</si>
  <si>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</si>
  <si>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</si>
  <si>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</si>
  <si>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</si>
  <si>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</si>
  <si>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</si>
  <si>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</si>
  <si>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</si>
  <si>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</si>
  <si>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</si>
  <si>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</si>
  <si>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</si>
  <si>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</si>
  <si>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</si>
  <si>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</si>
  <si>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</si>
  <si>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</si>
  <si>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</si>
  <si>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</si>
  <si>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</si>
  <si>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</si>
  <si>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</si>
  <si>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</si>
  <si>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</si>
  <si>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</si>
  <si>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</si>
  <si>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</si>
  <si>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</si>
  <si>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</si>
  <si>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</si>
  <si>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</si>
  <si>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</si>
  <si>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</si>
  <si>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</si>
  <si>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</si>
  <si>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</si>
  <si>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</si>
  <si>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</si>
  <si>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</si>
  <si>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</si>
  <si>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 xml:space="preserve">Notes:  </t>
  </si>
  <si>
    <t>Path 2</t>
  </si>
  <si>
    <t>Path 1</t>
  </si>
  <si>
    <t>TOCA 2014</t>
  </si>
  <si>
    <t>TOCA 2015</t>
  </si>
  <si>
    <t>Adjusted FY2013 Load</t>
  </si>
  <si>
    <t>Final CHWM</t>
  </si>
  <si>
    <t>Retained Provisional Load</t>
  </si>
  <si>
    <t>Current CHWM 1/</t>
  </si>
  <si>
    <t>Provisional Path 1 or Path 2</t>
  </si>
  <si>
    <t>1/ CHWMs and Provisional CHWMs from the 2011 CHWM Process with updates for 1) annexations and 2) Additional CHWM amounts for the tribes and DOE-Richland.</t>
  </si>
  <si>
    <t>Path 2 count:</t>
  </si>
  <si>
    <t>Path 1 count:</t>
  </si>
  <si>
    <t>Conservation (FY2011-FY2013)</t>
  </si>
  <si>
    <t>Path 2 Retained Provisional Load Calculation</t>
  </si>
  <si>
    <t>Adjusted FY2013 Load less Adjusted FY2010 Load</t>
  </si>
  <si>
    <t>Path 2 Retained Provisional Load</t>
  </si>
  <si>
    <t>Provisional Load Amount 2/</t>
  </si>
  <si>
    <t>Conservation (FY2007-FY2010) 3/</t>
  </si>
  <si>
    <t>Adjusted FY2010 Load 3/</t>
  </si>
  <si>
    <t>Path 1 Retained Provisional Load Calculation</t>
  </si>
  <si>
    <t>FY 2010 Measured Load</t>
  </si>
  <si>
    <t>FY2011-2013 12-month High less FY2010 Measured Load</t>
  </si>
  <si>
    <t>FY2011-2013 highest 12-month consecutive period</t>
  </si>
  <si>
    <t>Final CHWM Calculation</t>
  </si>
  <si>
    <t>Path 1 Retained Provisional Load</t>
  </si>
  <si>
    <t>Eligible Load 3/</t>
  </si>
  <si>
    <t>FY2013 Total Retail Load</t>
  </si>
  <si>
    <t>FY2013 Weather Normal</t>
  </si>
  <si>
    <t>FY2013 Remove Irrigation</t>
  </si>
  <si>
    <t>FY2013 Irrigation Adjusted</t>
  </si>
  <si>
    <t>FY2013 Measured Load</t>
  </si>
  <si>
    <t>Retained Provisional CHWM Amount 2/</t>
  </si>
  <si>
    <t>FY2013 Faulty Meter, NLSL, and/or Unauthorized or Anomalous Increases Adjustment</t>
  </si>
  <si>
    <t>2/ In the CHWM calculations, customers' Eligible Load was scaled for the Conservation Adjustment and the T1SFCO headroom.  The "Provisional Load Amount" is similarly scaled for the retained Provisional CHWM Amount (the ratio of the CHWM to Eligible Load).</t>
  </si>
  <si>
    <t>Since Yakama's Provisional CHWM amount is only from the USBIA Wapato, only USBIA Wapato's 2007-2010 conservation amount (0.000 aMW) is used in this calculation.</t>
  </si>
  <si>
    <t>Proposed Final Contract High Water Marks (CHWMs)</t>
  </si>
  <si>
    <t>Summary Table</t>
  </si>
  <si>
    <t># of customers</t>
  </si>
  <si>
    <t>Sum of Average FY2007-FY2008 Adjusted Load</t>
  </si>
  <si>
    <t>Sum of Eligible Load</t>
  </si>
  <si>
    <t>Sum of Additional CHWM</t>
  </si>
  <si>
    <t>Sum of FY2010 Adjusted Load</t>
  </si>
  <si>
    <t>Sum of Scaled Eligible Load</t>
  </si>
  <si>
    <t>Sum of New Publics</t>
  </si>
  <si>
    <t>Sum of Provisional Load Path #2</t>
  </si>
  <si>
    <t>Sum of Scaled Eligible Load adj Conservation</t>
  </si>
  <si>
    <t>Sum of Tribal Utility Load Growth</t>
  </si>
  <si>
    <t>Sum of Provisional Load Path #1</t>
  </si>
  <si>
    <t>Tier 1 System Firm Critical Output -- LaRIS Study 75</t>
  </si>
  <si>
    <t>n/a</t>
  </si>
  <si>
    <t>DOE Richland Load Growth</t>
  </si>
  <si>
    <t>Sum of Provisional CHWM</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</si>
  <si>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</si>
  <si>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</si>
  <si>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</si>
  <si>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</si>
  <si>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</si>
  <si>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</si>
  <si>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</si>
  <si>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</si>
  <si>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</si>
  <si>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</si>
  <si>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</si>
  <si>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</si>
  <si>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</si>
  <si>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</si>
  <si>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</si>
  <si>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</si>
  <si>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</si>
  <si>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</si>
  <si>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</si>
  <si>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</si>
  <si>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</si>
  <si>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</si>
  <si>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</si>
  <si>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</si>
  <si>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</si>
  <si>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</si>
  <si>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</si>
  <si>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</si>
  <si>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</si>
  <si>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</si>
  <si>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</si>
  <si>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</si>
  <si>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</si>
  <si>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</si>
  <si>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</si>
  <si>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</si>
  <si>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</si>
  <si>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</si>
  <si>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</si>
  <si>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</si>
  <si>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</si>
  <si>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</si>
  <si>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</si>
  <si>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FY2007</t>
  </si>
  <si>
    <t>FY2008</t>
  </si>
  <si>
    <t>Average</t>
  </si>
  <si>
    <t>FY2010</t>
  </si>
  <si>
    <t>Provisional Load Under
 Path 2</t>
  </si>
  <si>
    <t>Provisional Load Under 
Path 1</t>
  </si>
  <si>
    <t xml:space="preserve">CHWM </t>
  </si>
  <si>
    <t xml:space="preserve">Additional CHWM </t>
  </si>
  <si>
    <t>Existing Customer Name</t>
  </si>
  <si>
    <t>Total Retail Load 1/</t>
  </si>
  <si>
    <t>Faulty Meter, NLSL, and/or Unauhorized or Anomolous Increases Adjustment</t>
  </si>
  <si>
    <t>Weather Normal</t>
  </si>
  <si>
    <t>Remove Irrigation</t>
  </si>
  <si>
    <t>Irrigation Adjusted</t>
  </si>
  <si>
    <t>Measured Load</t>
  </si>
  <si>
    <t>Conservation
(FY2007)</t>
  </si>
  <si>
    <t>Adjusted FY2007 Load</t>
  </si>
  <si>
    <t>Conservation (FY2007-FY2008)</t>
  </si>
  <si>
    <t>Adjusted FY2008 Load</t>
  </si>
  <si>
    <t>Adjusted FY2007-FY2008 Load</t>
  </si>
  <si>
    <t>Conservation (FY2007-FY2010)</t>
  </si>
  <si>
    <t>Adjusted FY2010 Load</t>
  </si>
  <si>
    <t>Average Adjusted FY2007-FY2008 Load exceeds Adjusted FY2010 Load</t>
  </si>
  <si>
    <t>Path 1(a) or 1(b) Amounts</t>
  </si>
  <si>
    <t>FY2010 Measured Load</t>
  </si>
  <si>
    <t>Provisional Load</t>
  </si>
  <si>
    <t>CHWM Resources</t>
  </si>
  <si>
    <t>Eligible Load</t>
  </si>
  <si>
    <t>Scaled Eligible Load</t>
  </si>
  <si>
    <t>Credited Conservation FY2007-2010</t>
  </si>
  <si>
    <t>Scaled Eligible Load adj Credited Conservation</t>
  </si>
  <si>
    <t>CHWM (includes Provisional CHWM)</t>
  </si>
  <si>
    <t>Provisional CHWM 2/</t>
  </si>
  <si>
    <t>Additional CHWM 3/</t>
  </si>
  <si>
    <t>CHWM 
(includes Provisional CHWM and Additional CHWM)</t>
  </si>
  <si>
    <t>ALBION</t>
  </si>
  <si>
    <t>ALDER</t>
  </si>
  <si>
    <t>BANDON</t>
  </si>
  <si>
    <t>BENTON REA</t>
  </si>
  <si>
    <t>BIG BEND</t>
  </si>
  <si>
    <t>BLAINE</t>
  </si>
  <si>
    <t>BONNERS FERRY</t>
  </si>
  <si>
    <t>BURLEY</t>
  </si>
  <si>
    <t>CANBY</t>
  </si>
  <si>
    <t>CENTRAL ELEC COOP</t>
  </si>
  <si>
    <t xml:space="preserve"> </t>
  </si>
  <si>
    <t>CENTRAL LINCOLN PUD</t>
  </si>
  <si>
    <t>CENTRALIA</t>
  </si>
  <si>
    <t>CHENEY</t>
  </si>
  <si>
    <t>CLALLAM PUD</t>
  </si>
  <si>
    <t>COLUMBIA BASIN</t>
  </si>
  <si>
    <t>COLUMBIA POWER</t>
  </si>
  <si>
    <t>COLUMBIA REA</t>
  </si>
  <si>
    <t>CONSOLIDATED</t>
  </si>
  <si>
    <t>CONSUMERS</t>
  </si>
  <si>
    <t>EAST END</t>
  </si>
  <si>
    <t>EATONVILLE</t>
  </si>
  <si>
    <t>ELMHURST</t>
  </si>
  <si>
    <t>(47)</t>
  </si>
  <si>
    <t>FALL RIVER</t>
  </si>
  <si>
    <t>(48)</t>
  </si>
  <si>
    <t>FARMERS</t>
  </si>
  <si>
    <t>(49)</t>
  </si>
  <si>
    <t>FERRY PUD</t>
  </si>
  <si>
    <t>(50)</t>
  </si>
  <si>
    <t>(51)</t>
  </si>
  <si>
    <t>(52)</t>
  </si>
  <si>
    <t>(53)</t>
  </si>
  <si>
    <t xml:space="preserve">GLACIER </t>
  </si>
  <si>
    <t>(54)</t>
  </si>
  <si>
    <t>(55)</t>
  </si>
  <si>
    <t xml:space="preserve">HARNEY </t>
  </si>
  <si>
    <t>(56)</t>
  </si>
  <si>
    <t>HERMISTON</t>
  </si>
  <si>
    <t>(57)</t>
  </si>
  <si>
    <t>HEYBURN</t>
  </si>
  <si>
    <t>(58)</t>
  </si>
  <si>
    <t>HOOD RIVER</t>
  </si>
  <si>
    <t>(59)</t>
  </si>
  <si>
    <t>(60)</t>
  </si>
  <si>
    <t>IDAHO COUNTY LIGHT</t>
  </si>
  <si>
    <t>(61)</t>
  </si>
  <si>
    <t>INLAND</t>
  </si>
  <si>
    <t>(62)</t>
  </si>
  <si>
    <t>KITTITAS PUD</t>
  </si>
  <si>
    <t>(63)</t>
  </si>
  <si>
    <t>(64)</t>
  </si>
  <si>
    <t>KOOTENAI</t>
  </si>
  <si>
    <t>(65)</t>
  </si>
  <si>
    <t>(66)</t>
  </si>
  <si>
    <t xml:space="preserve">LANE </t>
  </si>
  <si>
    <t>(67)</t>
  </si>
  <si>
    <t>(68)</t>
  </si>
  <si>
    <t>(69)</t>
  </si>
  <si>
    <t>LOST RIVER</t>
  </si>
  <si>
    <t>(70)</t>
  </si>
  <si>
    <t>LOWER VALLEY</t>
  </si>
  <si>
    <t>(71)</t>
  </si>
  <si>
    <t>(72)</t>
  </si>
  <si>
    <t>(73)</t>
  </si>
  <si>
    <t>(74)</t>
  </si>
  <si>
    <t>(75)</t>
  </si>
  <si>
    <t>MIDSTATE</t>
  </si>
  <si>
    <t>(76)</t>
  </si>
  <si>
    <t>MILTON</t>
  </si>
  <si>
    <t>(77)</t>
  </si>
  <si>
    <t>(78)</t>
  </si>
  <si>
    <t>MINIDOKA</t>
  </si>
  <si>
    <t>(79)</t>
  </si>
  <si>
    <t>(80)</t>
  </si>
  <si>
    <t>MISSOULA</t>
  </si>
  <si>
    <t>(81)</t>
  </si>
  <si>
    <t>MODERN</t>
  </si>
  <si>
    <t>(82)</t>
  </si>
  <si>
    <t>MONMOUTH</t>
  </si>
  <si>
    <t>(83)</t>
  </si>
  <si>
    <t>NESPELEM</t>
  </si>
  <si>
    <t>(84)</t>
  </si>
  <si>
    <t>NO WASCO PUD</t>
  </si>
  <si>
    <t>(85)</t>
  </si>
  <si>
    <t>NORTHERN LIGHTS</t>
  </si>
  <si>
    <t>(86)</t>
  </si>
  <si>
    <t>OHOP</t>
  </si>
  <si>
    <t>(87)</t>
  </si>
  <si>
    <t>(88)</t>
  </si>
  <si>
    <t>OKANOGN ELEC COOP</t>
  </si>
  <si>
    <t>(89)</t>
  </si>
  <si>
    <t>(90)</t>
  </si>
  <si>
    <t>(91)</t>
  </si>
  <si>
    <t>(92)</t>
  </si>
  <si>
    <t>(93)</t>
  </si>
  <si>
    <t>(94)</t>
  </si>
  <si>
    <t>PENINSULA</t>
  </si>
  <si>
    <t>(95)</t>
  </si>
  <si>
    <t>(96)</t>
  </si>
  <si>
    <t>PORT ANGELES</t>
  </si>
  <si>
    <t>(97)</t>
  </si>
  <si>
    <t>PORT OF SEATTLE</t>
  </si>
  <si>
    <t>(98)</t>
  </si>
  <si>
    <t>(99)</t>
  </si>
  <si>
    <t>RAVALLI</t>
  </si>
  <si>
    <t>(100)</t>
  </si>
  <si>
    <t>RICHLAND</t>
  </si>
  <si>
    <t>(101)</t>
  </si>
  <si>
    <t>RIVERSIDE</t>
  </si>
  <si>
    <t>(102)</t>
  </si>
  <si>
    <t>RUPERT</t>
  </si>
  <si>
    <t>(103)</t>
  </si>
  <si>
    <t>(104)</t>
  </si>
  <si>
    <t>SALMON RIVER</t>
  </si>
  <si>
    <t>(105)</t>
  </si>
  <si>
    <t>(106)</t>
  </si>
  <si>
    <t>SKAMANIA PUD</t>
  </si>
  <si>
    <t>(107)</t>
  </si>
  <si>
    <t>(108)</t>
  </si>
  <si>
    <t>(109)</t>
  </si>
  <si>
    <t>SOUTH SIDE</t>
  </si>
  <si>
    <t>(110)</t>
  </si>
  <si>
    <t>SPRINGFIELD UTILITY BOARD</t>
  </si>
  <si>
    <t>(111)</t>
  </si>
  <si>
    <t>STEILACOOM</t>
  </si>
  <si>
    <t>(112)</t>
  </si>
  <si>
    <t>SUMAS</t>
  </si>
  <si>
    <t>(113)</t>
  </si>
  <si>
    <t>SURPRISE VALLEY</t>
  </si>
  <si>
    <t>(114)</t>
  </si>
  <si>
    <t>(115)</t>
  </si>
  <si>
    <t xml:space="preserve">TANNER </t>
  </si>
  <si>
    <t>(116)</t>
  </si>
  <si>
    <t>TILLAMOOK PUD</t>
  </si>
  <si>
    <t>(117)</t>
  </si>
  <si>
    <t>TROY</t>
  </si>
  <si>
    <t>(118)</t>
  </si>
  <si>
    <t>UMATILLA</t>
  </si>
  <si>
    <t>(119)</t>
  </si>
  <si>
    <t>UMPQUA</t>
  </si>
  <si>
    <t>(120)</t>
  </si>
  <si>
    <t>UNITED</t>
  </si>
  <si>
    <t>(121)</t>
  </si>
  <si>
    <t>USBIAWAPATO</t>
  </si>
  <si>
    <t>(122)</t>
  </si>
  <si>
    <t>USDOE ARC</t>
  </si>
  <si>
    <t>(123)</t>
  </si>
  <si>
    <t>USDOE RICH</t>
  </si>
  <si>
    <t>(124)</t>
  </si>
  <si>
    <t>USN BANGOR</t>
  </si>
  <si>
    <t>(125)</t>
  </si>
  <si>
    <t>USN JIMCRK</t>
  </si>
  <si>
    <t>(126)</t>
  </si>
  <si>
    <t>USN PUGET</t>
  </si>
  <si>
    <t>(127)</t>
  </si>
  <si>
    <t>VERA WATER AND POWER</t>
  </si>
  <si>
    <t>(128)</t>
  </si>
  <si>
    <t>VIGILANTE</t>
  </si>
  <si>
    <t>(129)</t>
  </si>
  <si>
    <t>WAHKIAKUM</t>
  </si>
  <si>
    <t>(130)</t>
  </si>
  <si>
    <t>WASCO</t>
  </si>
  <si>
    <t>(131)</t>
  </si>
  <si>
    <t>WEISER</t>
  </si>
  <si>
    <t>(132)</t>
  </si>
  <si>
    <t>WELLS</t>
  </si>
  <si>
    <t>(133)</t>
  </si>
  <si>
    <t>(134)</t>
  </si>
  <si>
    <t>WHATCOM PUD</t>
  </si>
  <si>
    <t>(135)</t>
  </si>
  <si>
    <t>(136)</t>
  </si>
  <si>
    <t>GRANT - GRAND COULEE</t>
  </si>
  <si>
    <t>(137)</t>
  </si>
  <si>
    <t>(138)</t>
  </si>
  <si>
    <t>New Public Name</t>
  </si>
  <si>
    <t>(139)</t>
  </si>
  <si>
    <t>JEFFERSON PUD 4/</t>
  </si>
  <si>
    <t>(140)</t>
  </si>
  <si>
    <t>(141)</t>
  </si>
  <si>
    <t>(142)</t>
  </si>
  <si>
    <t xml:space="preserve">Count if &gt; 0 </t>
  </si>
  <si>
    <t>(143)</t>
  </si>
  <si>
    <t>(144)</t>
  </si>
  <si>
    <t>(145)</t>
  </si>
  <si>
    <t xml:space="preserve">1/ FY2007, FY2008, and FY2010 Total Retail Load amounts are metered loads increased for the output of Behind-the-Meter Resources and reduced by the amount of wholesale power transactions.  </t>
  </si>
  <si>
    <t>(146)</t>
  </si>
  <si>
    <t>2/ Provisional CHWM amounts (column AN) are included in the CHWM amounts (column AM).</t>
  </si>
  <si>
    <t>(147)</t>
  </si>
  <si>
    <t xml:space="preserve">3/ Additional CHWM (column AP) means the sum of all CHWMs established for DOE-Richland, New Publics formed in whole or in part out of loads previously served by an entity other than an Existing Public, and load growth for New Tribal Utilities.  
</t>
  </si>
  <si>
    <t>(148)</t>
  </si>
  <si>
    <t>4/ Jefferson PUD's FY 2013 TRL Forecast used in the CHWM calculation includes Port Townsend Paper Company's (PTPC) Old Corrugated Cardboard (OCC) load (3.236 aMW).  BPA will conduct a separate review process to evaluate PTPC’s request to include the PTPC Unbleached Kraft Pulp and Paper load (approximately 17 aMW).  Jefferson PUD's CHWM will not be final until the conclusion of this review process</t>
  </si>
  <si>
    <t>4/ Yakama annexed the USBIA Wapato load in FY2011, and has also annexed additional load from Benton REA. Therefore, Yakama's CHWM and provisional CHWM amounts have been adjusted for these annexations from the originally calculated amounts.</t>
  </si>
  <si>
    <t>Yakama's provisional CHWM amount is due to the USBIA Wapato annexation.  USBIA Wapato's CHWM, as calculated in the 2011 CHWM process, was 1.846 aMW and its provisional CHWM amount was 0.032 aMW.</t>
  </si>
  <si>
    <t>Similarly, Yakama's Eligible Load includes the Eligible Load from Yakama (4.070 aMW), the USBIA Wapato (1.793 aMW), and the amount attributable to the annexed load from Benton REA (0.217 aMW = 0.228*(64.791/67.956)).</t>
  </si>
  <si>
    <t>From FY 2014-15 RHWM Process:</t>
  </si>
  <si>
    <t>Sum CHWM</t>
  </si>
  <si>
    <t>RT1SC</t>
  </si>
  <si>
    <t>Non-Slice TOCA 2014</t>
  </si>
  <si>
    <t>Non-Slice TOCA 2015</t>
  </si>
  <si>
    <t>Slice Percentage 2014</t>
  </si>
  <si>
    <t>Slice Percentage 2015</t>
  </si>
  <si>
    <t>Net Requirement 2014</t>
  </si>
  <si>
    <t>Updated RHWM</t>
  </si>
  <si>
    <t>HLH</t>
  </si>
  <si>
    <t>LLH</t>
  </si>
  <si>
    <t>FY 2014 Updated System Shaped Load (SSL)</t>
  </si>
  <si>
    <t>5/ A reduction to a customer's CHWM results in a change to its RHWM for FY 2014-15, and may result in a change to its TOCA and SSL.  See TRM section 4.1.9.  Such changes are effective retroactively to October 1, 2013.</t>
  </si>
  <si>
    <t xml:space="preserve">3/ Determined in the 2011 CHWM Process; these outputs are available at http://www.bpa.gov/power/pl/regionaldialogue/implementation/documents/#HW  </t>
  </si>
  <si>
    <t>In order to use a more accurate comparison to calculate retained Provisional Load, Yakama's Adjusted FY 2010 Load includes the 2010 load from Yakama (4.124 aMW), the USBIA Wapato load (1.969 aMW), and the annexed amount from Benton REA (0.228 aMW).</t>
  </si>
  <si>
    <t>Change to 2014 TOCA?</t>
  </si>
  <si>
    <t>Sum of RHWMs from FY 2014-15 RHWM Process</t>
  </si>
  <si>
    <t>RHWM Calculation</t>
  </si>
  <si>
    <t>Updated 
FY 2014-15 RHWM 5/</t>
  </si>
  <si>
    <t>Change in 
FY 2014-15 RHWM?</t>
  </si>
  <si>
    <t>Current TOCAs (last updated January 29, 2014) 1/</t>
  </si>
  <si>
    <t>1/ Current TOCAs are available at http://www.bpa.gov/Finance/RateCases/BP-14RateAdjustmentProceeding/Pages/Models-and-Datasets.aspx</t>
  </si>
  <si>
    <t>Updated FY 2014 TOCAs 2/</t>
  </si>
  <si>
    <t>2/ Updates to 2015 TOCAs will be calculated and published prior to the start of the fiscal year based on the updated RHWMs</t>
  </si>
  <si>
    <t>for customers with 2014 TOCA updates</t>
  </si>
  <si>
    <t>RT1SC for FY 2014-15*</t>
  </si>
  <si>
    <t>*Determined in the BP-14 rate case. Available in the TRM Billing Determinants Model at http://www.bpa.gov/Finance/RateCases/BP-14RateAdjustmentProceeding/Pages/Models-and-Datasets.aspx</t>
  </si>
  <si>
    <t>Customers with Provisional CHWM Amounts</t>
  </si>
  <si>
    <t>Current CHWM</t>
  </si>
  <si>
    <t xml:space="preserve">Provisional CHWM </t>
  </si>
  <si>
    <t>Amount</t>
  </si>
  <si>
    <t>Path</t>
  </si>
  <si>
    <t>Product</t>
  </si>
  <si>
    <t>Current CDQ (kW)</t>
  </si>
  <si>
    <t>CDQ Adjusted for Retained Provisional CHWM (kW)</t>
  </si>
  <si>
    <t>October</t>
  </si>
  <si>
    <t>November</t>
  </si>
  <si>
    <t>December</t>
  </si>
  <si>
    <t>January</t>
  </si>
  <si>
    <t>February</t>
  </si>
  <si>
    <t>March</t>
  </si>
  <si>
    <t>April</t>
  </si>
  <si>
    <t>May</t>
  </si>
  <si>
    <t>June</t>
  </si>
  <si>
    <t>July</t>
  </si>
  <si>
    <t>August</t>
  </si>
  <si>
    <t>September</t>
  </si>
  <si>
    <t>Slice</t>
  </si>
  <si>
    <t xml:space="preserve">CLARK PUD </t>
  </si>
  <si>
    <t xml:space="preserve">EWEB </t>
  </si>
  <si>
    <t xml:space="preserve">MISSION VALLEY </t>
  </si>
  <si>
    <t xml:space="preserve">OKANOGAN PUD </t>
  </si>
  <si>
    <t xml:space="preserve">OREGON TRAIL </t>
  </si>
  <si>
    <t>Slice&gt;Block</t>
  </si>
  <si>
    <t xml:space="preserve">RAFT RIVER </t>
  </si>
  <si>
    <t>YAKAMA Unadjusted</t>
  </si>
  <si>
    <t>USBIA Wapato (included in YAKAMA)</t>
  </si>
  <si>
    <t>USBIA Wapato Additions</t>
  </si>
  <si>
    <t>YAKAMA Adjusted</t>
  </si>
  <si>
    <t>PNGC Aggregate</t>
  </si>
  <si>
    <t>PNGC Member Provisional</t>
  </si>
  <si>
    <t xml:space="preserve">Comments can be viewed at: </t>
  </si>
  <si>
    <t>http://www.bpa.gov/applications/publiccomments/CommentList.aspx?ID=230</t>
  </si>
  <si>
    <t>List of Changes to Retained Provisional CHWM and CDQ Calculations since March 7, 2014 Draft Calculations:</t>
  </si>
  <si>
    <t>1) The Town of Coulee Dam's 2013 Total Retail Load has been adjusted to account for metering errors related to certain US Bureau of Reclamation loads.</t>
  </si>
  <si>
    <t>TOCA Calculations</t>
  </si>
  <si>
    <t>SSL Calculations</t>
  </si>
  <si>
    <t>FINAL Retained Provisional Load Calculations</t>
  </si>
  <si>
    <t>FINAL CDQ Adjustments for Retained Provisional CHWM</t>
  </si>
  <si>
    <t>Updated 4/7/14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</si>
</sst>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_(* \(#,##0\);_(* &quot;-&quot;_);_(@_)"/>
    <numFmt numFmtId="44" formatCode="_(&quot;$&quot;* #,##0.00_);_(&quot;$&quot;* \(#,##0.00\);_(&quot;$&quot;* &quot;-&quot;??_);_(@_)"/>
    <numFmt numFmtId="43" formatCode="_(* #,##0.00_);_(* \(#,##0.00\);_(* &quot;-&quot;??_);_(@_)"/>
    <numFmt numFmtId="164" formatCode="0.000"/>
    <numFmt numFmtId="165" formatCode="#,##0.000"/>
    <numFmt numFmtId="166" formatCode="[$-409]mmmm\ d\,\ yyyy;@"/>
    <numFmt numFmtId="167" formatCode="_(* #,##0.0000000_);_(* \(#,##0.0000000\);_(* &quot;-&quot;??_);_(@_)"/>
    <numFmt numFmtId="168" formatCode="_(* #,##0.00_);\(* #,##0.00\);_(* &quot;-&quot;??_);_(@_)"/>
    <numFmt numFmtId="169" formatCode="#,##0.0_)\x;\(#,##0.0\)\x;0.0_)\x;@_)_x"/>
    <numFmt numFmtId="170" formatCode="#,##0.0_);\(#,##0.0\);#,##0.0_);@_)"/>
    <numFmt numFmtId="171" formatCode="&quot;$&quot;_(#,##0.00_);&quot;$&quot;\(#,##0.00\);&quot;$&quot;_(0.00_);@_)"/>
    <numFmt numFmtId="172" formatCode="#,##0.00_);\(#,##0.00\);0.00_);@_)"/>
    <numFmt numFmtId="173" formatCode="\€_(#,##0.00_);\€\(#,##0.00\);\€_(0.00_);@_)"/>
    <numFmt numFmtId="174" formatCode="0.0_)\%;\(0.0\)\%;0.0_)\%;@_)_%"/>
    <numFmt numFmtId="175" formatCode="#,##0.0_)_%;\(#,##0.0\)_%;0.0_)_%;@_)_%"/>
    <numFmt numFmtId="176" formatCode="#,##0.0_)_x;\(#,##0.0\)_x;0.0_)_x;@_)_x"/>
    <numFmt numFmtId="177" formatCode="0.000%;;"/>
    <numFmt numFmtId="178" formatCode="0.0000000"/>
    <numFmt numFmtId="179" formatCode="0_);\(0\)"/>
    <numFmt numFmtId="180" formatCode="_(* #,##0.0000000_);_(* \(#,##0.0000000\);_(* &quot;-&quot;????_);_(@_)"/>
    <numFmt numFmtId="181" formatCode="#,##0.0000000_);\(#,##0.0000000\)"/>
    <numFmt numFmtId="182" formatCode="_(* #,##0_);_(* \(#,##0\);_(* &quot;-&quot;??_);_(@_)"/>
  </numFmts>
  <fonts count="95">
    <font>
      <sz val="10"/>
      <name val="Arial"/>
    </font>
    <font>
      <sz val="10"/>
      <name val="Arial"/>
      <family val="2"/>
    </font>
    <font>
      <sz val="10"/>
      <name val="Times New Roman"/>
      <family val="1"/>
    </font>
    <font>
      <u/>
      <sz val="10"/>
      <color indexed="12"/>
      <name val="Times New Roman"/>
      <family val="1"/>
    </font>
    <font>
      <sz val="8"/>
      <name val="Arial"/>
      <family val="2"/>
    </font>
    <font>
      <b/>
      <sz val="10"/>
      <name val="Arial"/>
      <family val="2"/>
    </font>
    <font>
      <sz val="10"/>
      <color indexed="10"/>
      <name val="Arial"/>
      <family val="2"/>
    </font>
    <font>
      <sz val="10"/>
      <name val="Arial"/>
      <family val="2"/>
    </font>
    <font>
      <b/>
      <i/>
      <sz val="10"/>
      <name val="Arial"/>
      <family val="2"/>
    </font>
    <font>
      <sz val="11"/>
      <color indexed="8"/>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8"/>
      <name val="Calibri"/>
      <family val="2"/>
    </font>
    <font>
      <sz val="11"/>
      <color indexed="9"/>
      <name val="Arial"/>
      <family val="2"/>
    </font>
    <font>
      <sz val="10"/>
      <color indexed="9"/>
      <name val="Arial"/>
      <family val="2"/>
    </font>
    <font>
      <sz val="11"/>
      <color indexed="9"/>
      <name val="Calibri"/>
      <family val="2"/>
    </font>
    <font>
      <sz val="10"/>
      <color indexed="12"/>
      <name val="Arial"/>
      <family val="2"/>
    </font>
    <font>
      <sz val="11"/>
      <color indexed="20"/>
      <name val="Arial"/>
      <family val="2"/>
    </font>
    <font>
      <sz val="10"/>
      <color indexed="20"/>
      <name val="Arial"/>
      <family val="2"/>
    </font>
    <font>
      <sz val="11"/>
      <color indexed="20"/>
      <name val="Calibri"/>
      <family val="2"/>
    </font>
    <font>
      <b/>
      <sz val="11"/>
      <color indexed="52"/>
      <name val="Arial"/>
      <family val="2"/>
    </font>
    <font>
      <b/>
      <sz val="10"/>
      <color indexed="52"/>
      <name val="Arial"/>
      <family val="2"/>
    </font>
    <font>
      <b/>
      <sz val="11"/>
      <color indexed="52"/>
      <name val="Calibri"/>
      <family val="2"/>
    </font>
    <font>
      <b/>
      <sz val="11"/>
      <color indexed="9"/>
      <name val="Arial"/>
      <family val="2"/>
    </font>
    <font>
      <b/>
      <sz val="10"/>
      <color indexed="9"/>
      <name val="Arial"/>
      <family val="2"/>
    </font>
    <font>
      <b/>
      <sz val="11"/>
      <color indexed="9"/>
      <name val="Calibri"/>
      <family val="2"/>
    </font>
    <font>
      <sz val="8"/>
      <name val="Palatino"/>
      <family val="1"/>
    </font>
    <font>
      <sz val="12"/>
      <name val="Times New Roman"/>
      <family val="1"/>
    </font>
    <font>
      <i/>
      <sz val="11"/>
      <color indexed="23"/>
      <name val="Arial"/>
      <family val="2"/>
    </font>
    <font>
      <i/>
      <sz val="10"/>
      <color indexed="23"/>
      <name val="Arial"/>
      <family val="2"/>
    </font>
    <font>
      <i/>
      <sz val="11"/>
      <color indexed="23"/>
      <name val="Calibri"/>
      <family val="2"/>
    </font>
    <font>
      <sz val="8"/>
      <name val="Times New Roman"/>
      <family val="1"/>
    </font>
    <font>
      <sz val="11"/>
      <color indexed="17"/>
      <name val="Arial"/>
      <family val="2"/>
    </font>
    <font>
      <sz val="10"/>
      <color indexed="17"/>
      <name val="Arial"/>
      <family val="2"/>
    </font>
    <font>
      <sz val="11"/>
      <color indexed="17"/>
      <name val="Calibri"/>
      <family val="2"/>
    </font>
    <font>
      <sz val="6"/>
      <color indexed="16"/>
      <name val="Palatino"/>
      <family val="1"/>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Arial"/>
      <family val="2"/>
    </font>
    <font>
      <u/>
      <sz val="7.5"/>
      <color indexed="12"/>
      <name val="Arial"/>
      <family val="2"/>
    </font>
    <font>
      <sz val="11"/>
      <color indexed="62"/>
      <name val="Arial"/>
      <family val="2"/>
    </font>
    <font>
      <sz val="10"/>
      <color indexed="62"/>
      <name val="Arial"/>
      <family val="2"/>
    </font>
    <font>
      <sz val="11"/>
      <color indexed="62"/>
      <name val="Calibri"/>
      <family val="2"/>
    </font>
    <font>
      <sz val="11"/>
      <color indexed="52"/>
      <name val="Arial"/>
      <family val="2"/>
    </font>
    <font>
      <sz val="10"/>
      <color indexed="52"/>
      <name val="Arial"/>
      <family val="2"/>
    </font>
    <font>
      <sz val="11"/>
      <color indexed="52"/>
      <name val="Calibri"/>
      <family val="2"/>
    </font>
    <font>
      <sz val="11"/>
      <color indexed="60"/>
      <name val="Arial"/>
      <family val="2"/>
    </font>
    <font>
      <sz val="10"/>
      <color indexed="60"/>
      <name val="Arial"/>
      <family val="2"/>
    </font>
    <font>
      <sz val="11"/>
      <color indexed="60"/>
      <name val="Calibri"/>
      <family val="2"/>
    </font>
    <font>
      <b/>
      <sz val="11"/>
      <color indexed="63"/>
      <name val="Arial"/>
      <family val="2"/>
    </font>
    <font>
      <b/>
      <sz val="10"/>
      <color indexed="63"/>
      <name val="Arial"/>
      <family val="2"/>
    </font>
    <font>
      <b/>
      <sz val="11"/>
      <color indexed="63"/>
      <name val="Calibri"/>
      <family val="2"/>
    </font>
    <font>
      <sz val="10"/>
      <color indexed="16"/>
      <name val="Helvetica-Black"/>
    </font>
    <font>
      <sz val="10"/>
      <name val="MS Sans Serif"/>
      <family val="2"/>
    </font>
    <font>
      <b/>
      <sz val="10"/>
      <name val="MS Sans Serif"/>
      <family val="2"/>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Arial"/>
      <family val="2"/>
    </font>
    <font>
      <b/>
      <sz val="10"/>
      <color indexed="8"/>
      <name val="Arial"/>
      <family val="2"/>
    </font>
    <font>
      <b/>
      <sz val="11"/>
      <color indexed="8"/>
      <name val="Calibri"/>
      <family val="2"/>
    </font>
    <font>
      <sz val="11"/>
      <color indexed="10"/>
      <name val="Arial"/>
      <family val="2"/>
    </font>
    <font>
      <sz val="10"/>
      <color indexed="10"/>
      <name val="Arial"/>
      <family val="2"/>
    </font>
    <font>
      <sz val="11"/>
      <color indexed="10"/>
      <name val="Calibri"/>
      <family val="2"/>
    </font>
    <font>
      <b/>
      <sz val="12"/>
      <name val="Arial"/>
      <family val="2"/>
    </font>
    <font>
      <sz val="10"/>
      <color indexed="55"/>
      <name val="Arial"/>
      <family val="2"/>
    </font>
    <font>
      <b/>
      <sz val="16"/>
      <name val="Arial"/>
      <family val="2"/>
    </font>
    <font>
      <sz val="12"/>
      <name val="Arial"/>
      <family val="2"/>
    </font>
    <font>
      <i/>
      <sz val="12"/>
      <name val="Arial"/>
      <family val="2"/>
    </font>
    <font>
      <b/>
      <sz val="14"/>
      <name val="Times New Roman"/>
      <family val="1"/>
    </font>
    <font>
      <b/>
      <sz val="10"/>
      <name val="Times New Roman"/>
      <family val="1"/>
    </font>
    <font>
      <i/>
      <sz val="10"/>
      <name val="Times New Roman"/>
      <family val="1"/>
    </font>
    <font>
      <sz val="10"/>
      <color indexed="55"/>
      <name val="Times New Roman"/>
      <family val="1"/>
    </font>
    <font>
      <sz val="11"/>
      <color theme="1"/>
      <name val="Calibri"/>
      <family val="2"/>
      <scheme val="minor"/>
    </font>
    <font>
      <sz val="10"/>
      <color theme="0" tint="-0.34998626667073579"/>
      <name val="Arial"/>
      <family val="2"/>
    </font>
    <font>
      <sz val="12"/>
      <color theme="0" tint="-0.34998626667073579"/>
      <name val="Arial"/>
      <family val="2"/>
    </font>
    <font>
      <b/>
      <sz val="16"/>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indexed="12"/>
      <name val="Calibri"/>
      <family val="2"/>
      <scheme val="minor"/>
    </font>
  </fonts>
  <fills count="33">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22"/>
        <bgColor indexed="24"/>
      </patternFill>
    </fill>
    <fill>
      <patternFill patternType="solid">
        <fgColor indexed="9"/>
        <bgColor indexed="24"/>
      </patternFill>
    </fill>
    <fill>
      <patternFill patternType="solid">
        <fgColor theme="0" tint="-0.14999847407452621"/>
        <bgColor indexed="64"/>
      </patternFill>
    </fill>
    <fill>
      <patternFill patternType="solid">
        <fgColor theme="0" tint="-0.14999847407452621"/>
        <bgColor indexed="24"/>
      </patternFill>
    </fill>
    <fill>
      <patternFill patternType="lightGray"/>
    </fill>
  </fills>
  <borders count="59">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341">
    <xf numFmtId="0" fontId="0" fillId="0" borderId="0"/>
    <xf numFmtId="174" fontId="10" fillId="0" borderId="0" applyFont="0" applyFill="0" applyBorder="0" applyAlignment="0" applyProtection="0"/>
    <xf numFmtId="174" fontId="10"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1" fillId="0" borderId="0" applyNumberFormat="0" applyFill="0" applyBorder="0" applyAlignment="0" applyProtection="0"/>
    <xf numFmtId="38" fontId="10" fillId="2" borderId="0" applyNumberFormat="0" applyFont="0" applyAlignment="0" applyProtection="0"/>
    <xf numFmtId="38" fontId="10" fillId="2" borderId="0" applyNumberFormat="0" applyFont="0" applyAlignment="0" applyProtection="0"/>
    <xf numFmtId="38" fontId="4" fillId="2" borderId="0" applyNumberFormat="0" applyFont="0" applyAlignment="0" applyProtection="0"/>
    <xf numFmtId="38" fontId="4" fillId="2" borderId="0"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6" fontId="10" fillId="0" borderId="0" applyFont="0" applyFill="0" applyBorder="0" applyProtection="0">
      <alignment horizontal="right"/>
    </xf>
    <xf numFmtId="176" fontId="10" fillId="0" borderId="0" applyFont="0" applyFill="0" applyBorder="0" applyProtection="0">
      <alignment horizontal="right"/>
    </xf>
    <xf numFmtId="176" fontId="4" fillId="0" borderId="0" applyFont="0" applyFill="0" applyBorder="0" applyProtection="0">
      <alignment horizontal="right"/>
    </xf>
    <xf numFmtId="176" fontId="4" fillId="0" borderId="0" applyFont="0" applyFill="0" applyBorder="0" applyProtection="0">
      <alignment horizontal="right"/>
    </xf>
    <xf numFmtId="0" fontId="12" fillId="0" borderId="0" applyNumberFormat="0" applyFill="0" applyBorder="0" applyProtection="0">
      <alignment vertical="top"/>
    </xf>
    <xf numFmtId="38" fontId="13" fillId="0" borderId="1" applyNumberFormat="0" applyFill="0" applyAlignment="0" applyProtection="0"/>
    <xf numFmtId="38" fontId="14" fillId="0" borderId="2" applyNumberFormat="0" applyFill="0" applyProtection="0">
      <alignment horizontal="center"/>
    </xf>
    <xf numFmtId="38" fontId="14" fillId="0" borderId="0" applyNumberFormat="0" applyFill="0" applyBorder="0" applyProtection="0">
      <alignment horizontal="left"/>
    </xf>
    <xf numFmtId="38" fontId="15" fillId="0" borderId="0" applyNumberFormat="0" applyFill="0" applyBorder="0" applyProtection="0">
      <alignment horizontal="centerContinuous"/>
    </xf>
    <xf numFmtId="0" fontId="9" fillId="3" borderId="0" applyNumberFormat="0" applyBorder="0" applyAlignment="0" applyProtection="0"/>
    <xf numFmtId="0" fontId="16"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9" fillId="4" borderId="0" applyNumberFormat="0" applyBorder="0" applyAlignment="0" applyProtection="0"/>
    <xf numFmtId="0" fontId="16"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9" fillId="5" borderId="0" applyNumberFormat="0" applyBorder="0" applyAlignment="0" applyProtection="0"/>
    <xf numFmtId="0" fontId="16"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9" fillId="6"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9" fillId="7" borderId="0" applyNumberFormat="0" applyBorder="0" applyAlignment="0" applyProtection="0"/>
    <xf numFmtId="0" fontId="16"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9" fillId="8" borderId="0" applyNumberFormat="0" applyBorder="0" applyAlignment="0" applyProtection="0"/>
    <xf numFmtId="0" fontId="16"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9"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9" fillId="10"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9" fillId="11"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9" fillId="6"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9"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9" fillId="12" borderId="0" applyNumberFormat="0" applyBorder="0" applyAlignment="0" applyProtection="0"/>
    <xf numFmtId="0" fontId="16"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8" fillId="20"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1" fillId="0" borderId="0" applyNumberFormat="0" applyFill="0" applyBorder="0" applyAlignment="0">
      <protection locked="0"/>
    </xf>
    <xf numFmtId="0" fontId="22" fillId="4"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21" borderId="3" applyNumberFormat="0" applyAlignment="0" applyProtection="0"/>
    <xf numFmtId="0" fontId="26" fillId="21" borderId="3" applyNumberFormat="0" applyAlignment="0" applyProtection="0"/>
    <xf numFmtId="0" fontId="27" fillId="21" borderId="3" applyNumberFormat="0" applyAlignment="0" applyProtection="0"/>
    <xf numFmtId="0" fontId="27" fillId="21" borderId="3" applyNumberFormat="0" applyAlignment="0" applyProtection="0"/>
    <xf numFmtId="0" fontId="28" fillId="22" borderId="4" applyNumberFormat="0" applyAlignment="0" applyProtection="0"/>
    <xf numFmtId="0" fontId="29" fillId="22" borderId="4" applyNumberFormat="0" applyAlignment="0" applyProtection="0"/>
    <xf numFmtId="0" fontId="30" fillId="22" borderId="4" applyNumberFormat="0" applyAlignment="0" applyProtection="0"/>
    <xf numFmtId="0" fontId="30" fillId="22" borderId="4" applyNumberFormat="0" applyAlignment="0" applyProtection="0"/>
    <xf numFmtId="0" fontId="31" fillId="0" borderId="0" applyFont="0" applyFill="0" applyBorder="0" applyAlignment="0" applyProtection="0">
      <alignment horizontal="right"/>
    </xf>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1"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0" fontId="31" fillId="0" borderId="0" applyFont="0" applyFill="0" applyBorder="0" applyAlignment="0" applyProtection="0">
      <alignment horizontal="right"/>
    </xf>
    <xf numFmtId="0" fontId="31" fillId="0" borderId="0" applyFont="0" applyFill="0" applyBorder="0" applyAlignment="0" applyProtection="0">
      <alignment horizontal="right"/>
    </xf>
    <xf numFmtId="44"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0" fontId="31" fillId="0" borderId="0" applyFont="0" applyFill="0" applyBorder="0" applyAlignment="0" applyProtection="0"/>
    <xf numFmtId="0" fontId="31" fillId="0" borderId="5" applyNumberFormat="0" applyFon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Fill="0" applyBorder="0" applyProtection="0">
      <alignment horizontal="left"/>
    </xf>
    <xf numFmtId="0" fontId="37"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1" fillId="0" borderId="0" applyFont="0" applyFill="0" applyBorder="0" applyAlignment="0" applyProtection="0">
      <alignment horizontal="right"/>
    </xf>
    <xf numFmtId="0" fontId="40" fillId="0" borderId="0" applyProtection="0">
      <alignment horizontal="right"/>
    </xf>
    <xf numFmtId="0" fontId="41" fillId="0" borderId="6" applyNumberFormat="0" applyFill="0" applyAlignment="0" applyProtection="0"/>
    <xf numFmtId="0" fontId="41"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8" borderId="3" applyNumberFormat="0" applyAlignment="0" applyProtection="0"/>
    <xf numFmtId="0" fontId="50" fillId="8" borderId="3" applyNumberFormat="0" applyAlignment="0" applyProtection="0"/>
    <xf numFmtId="0" fontId="51" fillId="8" borderId="3" applyNumberFormat="0" applyAlignment="0" applyProtection="0"/>
    <xf numFmtId="0" fontId="51" fillId="8" borderId="3" applyNumberFormat="0" applyAlignment="0" applyProtection="0"/>
    <xf numFmtId="0" fontId="52" fillId="0" borderId="9" applyNumberFormat="0" applyFill="0" applyAlignment="0" applyProtection="0"/>
    <xf numFmtId="0" fontId="53"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1" fillId="0" borderId="0" applyFont="0" applyFill="0" applyBorder="0" applyAlignment="0" applyProtection="0">
      <alignment horizontal="right"/>
    </xf>
    <xf numFmtId="0" fontId="55" fillId="2" borderId="0" applyNumberFormat="0" applyBorder="0" applyAlignment="0" applyProtection="0"/>
    <xf numFmtId="0" fontId="56"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7" fillId="0" borderId="0"/>
    <xf numFmtId="0" fontId="7" fillId="0" borderId="0"/>
    <xf numFmtId="0" fontId="7" fillId="0" borderId="0"/>
    <xf numFmtId="0" fontId="32" fillId="0" borderId="0"/>
    <xf numFmtId="0" fontId="32" fillId="0" borderId="0"/>
    <xf numFmtId="0" fontId="86" fillId="0" borderId="0"/>
    <xf numFmtId="0" fontId="7" fillId="0" borderId="0"/>
    <xf numFmtId="0" fontId="2" fillId="0" borderId="0"/>
    <xf numFmtId="0" fontId="1"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58" fillId="21" borderId="11" applyNumberFormat="0" applyAlignment="0" applyProtection="0"/>
    <xf numFmtId="0" fontId="59" fillId="21" borderId="11" applyNumberFormat="0" applyAlignment="0" applyProtection="0"/>
    <xf numFmtId="0" fontId="60" fillId="21" borderId="11" applyNumberFormat="0" applyAlignment="0" applyProtection="0"/>
    <xf numFmtId="0" fontId="60" fillId="21" borderId="11" applyNumberFormat="0" applyAlignment="0" applyProtection="0"/>
    <xf numFmtId="1" fontId="61" fillId="0" borderId="0" applyProtection="0">
      <alignment horizontal="right" vertical="center"/>
    </xf>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0" fontId="64" fillId="0" borderId="0" applyNumberFormat="0" applyFill="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6" fillId="0" borderId="0" applyBorder="0" applyProtection="0">
      <alignment vertical="center"/>
    </xf>
    <xf numFmtId="0" fontId="66" fillId="0" borderId="14" applyBorder="0" applyProtection="0">
      <alignment horizontal="right" vertical="center"/>
    </xf>
    <xf numFmtId="0" fontId="67" fillId="26" borderId="0" applyBorder="0" applyProtection="0">
      <alignment horizontal="centerContinuous" vertical="center"/>
    </xf>
    <xf numFmtId="0" fontId="67" fillId="27" borderId="14" applyBorder="0" applyProtection="0">
      <alignment horizontal="centerContinuous" vertical="center"/>
    </xf>
    <xf numFmtId="0" fontId="68" fillId="0" borderId="0" applyBorder="0" applyProtection="0">
      <alignment horizontal="left"/>
    </xf>
    <xf numFmtId="0" fontId="68" fillId="0" borderId="0" applyBorder="0" applyProtection="0">
      <alignment horizontal="left"/>
    </xf>
    <xf numFmtId="0" fontId="69" fillId="0" borderId="0" applyFill="0" applyBorder="0" applyProtection="0">
      <alignment horizontal="left"/>
    </xf>
    <xf numFmtId="0" fontId="10" fillId="0" borderId="13" applyFill="0" applyBorder="0" applyProtection="0">
      <alignment horizontal="left" vertical="top"/>
    </xf>
    <xf numFmtId="0" fontId="10" fillId="0" borderId="13" applyFill="0" applyBorder="0" applyProtection="0">
      <alignment horizontal="left" vertical="top"/>
    </xf>
    <xf numFmtId="0" fontId="4" fillId="0" borderId="13" applyFill="0" applyBorder="0" applyProtection="0">
      <alignment horizontal="left" vertical="top"/>
    </xf>
    <xf numFmtId="0" fontId="4" fillId="0" borderId="13" applyFill="0" applyBorder="0" applyProtection="0">
      <alignment horizontal="left" vertical="top"/>
    </xf>
    <xf numFmtId="0" fontId="70" fillId="0" borderId="0" applyNumberFormat="0" applyFill="0" applyBorder="0" applyAlignment="0" applyProtection="0"/>
    <xf numFmtId="0" fontId="70" fillId="0" borderId="0" applyNumberFormat="0" applyFill="0" applyBorder="0" applyAlignment="0" applyProtection="0"/>
    <xf numFmtId="0" fontId="71" fillId="0" borderId="15" applyNumberFormat="0" applyFill="0" applyAlignment="0" applyProtection="0"/>
    <xf numFmtId="0" fontId="72"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cellStyleXfs>
  <cellXfs count="346">
    <xf numFmtId="0" fontId="0" fillId="0" borderId="0" xfId="0"/>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5" fillId="0" borderId="0" xfId="0" applyFont="1"/>
    <xf numFmtId="0" fontId="7" fillId="0" borderId="0" xfId="0" applyFont="1" applyFill="1" applyBorder="1"/>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0" fontId="7" fillId="0" borderId="0" xfId="0" applyFont="1" applyFill="1" applyAlignment="1">
      <alignment horizontal="right" vertical="center"/>
    </xf>
    <xf numFmtId="164" fontId="7" fillId="0" borderId="18"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0" fontId="7" fillId="0" borderId="19" xfId="0" applyFont="1" applyFill="1" applyBorder="1" applyAlignment="1">
      <alignment horizontal="center"/>
    </xf>
    <xf numFmtId="166" fontId="8" fillId="0" borderId="0" xfId="0" applyNumberFormat="1"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7" fillId="0" borderId="19" xfId="0" applyFont="1" applyFill="1" applyBorder="1" applyAlignment="1">
      <alignment horizontal="center" vertical="center"/>
    </xf>
    <xf numFmtId="164" fontId="7" fillId="0" borderId="19" xfId="0" applyNumberFormat="1" applyFont="1" applyFill="1" applyBorder="1" applyAlignment="1">
      <alignment horizontal="center"/>
    </xf>
    <xf numFmtId="1" fontId="7" fillId="0" borderId="0" xfId="0" applyNumberFormat="1" applyFont="1" applyFill="1" applyBorder="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18" xfId="0" applyFont="1" applyFill="1" applyBorder="1" applyAlignment="1">
      <alignment horizontal="center" vertical="center"/>
    </xf>
    <xf numFmtId="164" fontId="7" fillId="0" borderId="20" xfId="0" applyNumberFormat="1" applyFont="1" applyFill="1" applyBorder="1" applyAlignment="1">
      <alignment horizont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64" fontId="7" fillId="0" borderId="18" xfId="0" applyNumberFormat="1" applyFont="1" applyFill="1" applyBorder="1" applyAlignment="1">
      <alignment horizontal="center"/>
    </xf>
    <xf numFmtId="0" fontId="79" fillId="0" borderId="0" xfId="0" applyFont="1" applyFill="1" applyBorder="1" applyAlignment="1">
      <alignment horizontal="left" vertical="center"/>
    </xf>
    <xf numFmtId="0" fontId="80" fillId="0" borderId="0" xfId="0" applyFont="1" applyFill="1" applyAlignment="1">
      <alignment vertical="center"/>
    </xf>
    <xf numFmtId="0" fontId="80" fillId="0" borderId="0" xfId="0" applyFont="1" applyFill="1" applyBorder="1" applyAlignment="1">
      <alignment vertical="center"/>
    </xf>
    <xf numFmtId="0" fontId="80" fillId="0" borderId="0" xfId="0" applyFont="1" applyFill="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center" vertical="center"/>
    </xf>
    <xf numFmtId="0" fontId="7" fillId="0" borderId="23" xfId="0" applyFont="1" applyFill="1" applyBorder="1" applyAlignment="1">
      <alignment horizontal="center" vertical="center"/>
    </xf>
    <xf numFmtId="0" fontId="7" fillId="0" borderId="19" xfId="0" applyFont="1" applyFill="1" applyBorder="1" applyAlignment="1">
      <alignment vertical="center"/>
    </xf>
    <xf numFmtId="0" fontId="7" fillId="30" borderId="19" xfId="0" applyFont="1" applyFill="1" applyBorder="1" applyAlignment="1">
      <alignment horizontal="center"/>
    </xf>
    <xf numFmtId="0" fontId="7" fillId="30" borderId="19" xfId="0" applyFont="1" applyFill="1" applyBorder="1"/>
    <xf numFmtId="0" fontId="7" fillId="30" borderId="23" xfId="0" applyFont="1" applyFill="1" applyBorder="1" applyAlignment="1">
      <alignment horizontal="center"/>
    </xf>
    <xf numFmtId="164" fontId="7" fillId="30" borderId="24" xfId="0" applyNumberFormat="1" applyFont="1" applyFill="1" applyBorder="1" applyAlignment="1">
      <alignment horizontal="center" vertical="center"/>
    </xf>
    <xf numFmtId="164" fontId="7" fillId="30" borderId="25" xfId="0" applyNumberFormat="1" applyFont="1" applyFill="1" applyBorder="1" applyAlignment="1">
      <alignment horizontal="center" vertical="center"/>
    </xf>
    <xf numFmtId="164" fontId="7" fillId="30" borderId="24" xfId="0" applyNumberFormat="1" applyFont="1" applyFill="1" applyBorder="1" applyAlignment="1">
      <alignment horizontal="center"/>
    </xf>
    <xf numFmtId="164" fontId="7" fillId="30" borderId="25" xfId="0" applyNumberFormat="1" applyFont="1" applyFill="1" applyBorder="1" applyAlignment="1">
      <alignment horizontal="center"/>
    </xf>
    <xf numFmtId="164" fontId="7" fillId="30" borderId="26" xfId="0" applyNumberFormat="1" applyFont="1" applyFill="1" applyBorder="1" applyAlignment="1">
      <alignment horizontal="center"/>
    </xf>
    <xf numFmtId="0" fontId="7" fillId="0" borderId="19" xfId="0" applyFont="1" applyFill="1" applyBorder="1"/>
    <xf numFmtId="0" fontId="7" fillId="0" borderId="23" xfId="0" applyFont="1" applyFill="1" applyBorder="1" applyAlignment="1">
      <alignment horizontal="center"/>
    </xf>
    <xf numFmtId="164" fontId="7" fillId="30" borderId="18" xfId="0" applyNumberFormat="1" applyFont="1" applyFill="1" applyBorder="1" applyAlignment="1">
      <alignment horizontal="center" vertical="center"/>
    </xf>
    <xf numFmtId="164" fontId="7" fillId="30" borderId="19" xfId="0" applyNumberFormat="1" applyFont="1" applyFill="1" applyBorder="1" applyAlignment="1">
      <alignment horizontal="center" vertical="center"/>
    </xf>
    <xf numFmtId="164" fontId="7" fillId="30" borderId="18" xfId="0" applyNumberFormat="1" applyFont="1" applyFill="1" applyBorder="1" applyAlignment="1">
      <alignment horizontal="center"/>
    </xf>
    <xf numFmtId="164" fontId="7" fillId="30" borderId="19" xfId="0" applyNumberFormat="1" applyFont="1" applyFill="1" applyBorder="1" applyAlignment="1">
      <alignment horizontal="center"/>
    </xf>
    <xf numFmtId="164" fontId="7" fillId="30" borderId="20" xfId="0" applyNumberFormat="1" applyFont="1" applyFill="1" applyBorder="1" applyAlignment="1">
      <alignment horizontal="center"/>
    </xf>
    <xf numFmtId="0" fontId="7" fillId="31" borderId="19" xfId="0" applyFont="1" applyFill="1" applyBorder="1" applyAlignment="1">
      <alignment horizontal="center"/>
    </xf>
    <xf numFmtId="0" fontId="7" fillId="31" borderId="19" xfId="0" applyFont="1" applyFill="1" applyBorder="1"/>
    <xf numFmtId="0" fontId="7" fillId="0" borderId="20" xfId="0" applyFont="1" applyFill="1" applyBorder="1" applyAlignment="1">
      <alignment horizontal="center"/>
    </xf>
    <xf numFmtId="0" fontId="7" fillId="30" borderId="27" xfId="0" applyFont="1" applyFill="1" applyBorder="1" applyAlignment="1">
      <alignment horizontal="center"/>
    </xf>
    <xf numFmtId="0" fontId="7" fillId="30" borderId="27" xfId="0" applyFont="1" applyFill="1" applyBorder="1"/>
    <xf numFmtId="0" fontId="7" fillId="30" borderId="28" xfId="0" applyFont="1" applyFill="1" applyBorder="1" applyAlignment="1">
      <alignment horizontal="center"/>
    </xf>
    <xf numFmtId="164" fontId="7" fillId="30" borderId="29" xfId="0" applyNumberFormat="1" applyFont="1" applyFill="1" applyBorder="1" applyAlignment="1">
      <alignment horizontal="center" vertical="center"/>
    </xf>
    <xf numFmtId="164" fontId="7" fillId="30" borderId="27" xfId="0" applyNumberFormat="1" applyFont="1" applyFill="1" applyBorder="1" applyAlignment="1">
      <alignment horizontal="center" vertical="center"/>
    </xf>
    <xf numFmtId="164" fontId="7" fillId="30" borderId="29" xfId="0" applyNumberFormat="1" applyFont="1" applyFill="1" applyBorder="1" applyAlignment="1">
      <alignment horizontal="center"/>
    </xf>
    <xf numFmtId="164" fontId="7" fillId="30" borderId="27" xfId="0" applyNumberFormat="1" applyFont="1" applyFill="1" applyBorder="1" applyAlignment="1">
      <alignment horizontal="center"/>
    </xf>
    <xf numFmtId="0" fontId="7" fillId="30" borderId="30" xfId="0" applyFont="1" applyFill="1" applyBorder="1" applyAlignment="1">
      <alignment horizontal="center"/>
    </xf>
    <xf numFmtId="0" fontId="7" fillId="30" borderId="29" xfId="0" applyFont="1" applyFill="1" applyBorder="1" applyAlignment="1">
      <alignment horizontal="center"/>
    </xf>
    <xf numFmtId="0" fontId="7" fillId="0" borderId="0" xfId="0" applyFont="1" applyFill="1" applyAlignment="1">
      <alignment horizontal="center"/>
    </xf>
    <xf numFmtId="0" fontId="7" fillId="0" borderId="0" xfId="0" applyFont="1" applyFill="1"/>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0" fontId="78" fillId="0" borderId="0" xfId="0" applyFont="1" applyFill="1" applyAlignment="1">
      <alignment vertical="center"/>
    </xf>
    <xf numFmtId="0" fontId="78" fillId="0" borderId="0" xfId="0" applyFont="1" applyFill="1" applyAlignment="1">
      <alignment horizontal="center" vertical="center"/>
    </xf>
    <xf numFmtId="0" fontId="87" fillId="0" borderId="0" xfId="0" applyFont="1" applyFill="1" applyBorder="1" applyAlignment="1">
      <alignment horizontal="center" vertical="center"/>
    </xf>
    <xf numFmtId="49" fontId="87" fillId="0" borderId="0" xfId="0" applyNumberFormat="1" applyFont="1" applyFill="1" applyBorder="1" applyAlignment="1">
      <alignment horizontal="center" vertical="center"/>
    </xf>
    <xf numFmtId="49" fontId="87" fillId="0" borderId="19" xfId="0" applyNumberFormat="1" applyFont="1" applyFill="1" applyBorder="1" applyAlignment="1">
      <alignment horizontal="center" vertical="center"/>
    </xf>
    <xf numFmtId="49" fontId="87" fillId="30" borderId="19" xfId="0" applyNumberFormat="1" applyFont="1" applyFill="1" applyBorder="1" applyAlignment="1">
      <alignment horizontal="center" vertical="center"/>
    </xf>
    <xf numFmtId="49" fontId="87" fillId="30" borderId="27" xfId="0" applyNumberFormat="1" applyFont="1" applyFill="1" applyBorder="1" applyAlignment="1">
      <alignment horizontal="center" vertical="center"/>
    </xf>
    <xf numFmtId="9" fontId="7" fillId="0" borderId="0" xfId="0" applyNumberFormat="1" applyFont="1" applyFill="1" applyAlignment="1">
      <alignment horizontal="center" vertical="center"/>
    </xf>
    <xf numFmtId="0" fontId="3" fillId="0" borderId="0" xfId="208" applyFill="1" applyAlignment="1" applyProtection="1">
      <alignment vertical="center"/>
    </xf>
    <xf numFmtId="0" fontId="87" fillId="0" borderId="0" xfId="0" applyFont="1" applyFill="1" applyBorder="1" applyAlignment="1">
      <alignment horizontal="center" vertical="center" wrapText="1"/>
    </xf>
    <xf numFmtId="0" fontId="82" fillId="0" borderId="0" xfId="233" applyFont="1" applyFill="1" applyBorder="1" applyAlignment="1">
      <alignment horizontal="left" vertical="center"/>
    </xf>
    <xf numFmtId="0" fontId="2" fillId="0" borderId="0" xfId="233" applyAlignment="1">
      <alignment vertical="center"/>
    </xf>
    <xf numFmtId="0" fontId="2" fillId="0" borderId="0" xfId="233" applyBorder="1" applyAlignment="1">
      <alignment vertical="center"/>
    </xf>
    <xf numFmtId="166" fontId="83" fillId="0" borderId="0" xfId="233" applyNumberFormat="1" applyFont="1" applyFill="1" applyBorder="1" applyAlignment="1">
      <alignment horizontal="left" vertical="center"/>
    </xf>
    <xf numFmtId="0" fontId="2" fillId="0" borderId="31" xfId="233" applyBorder="1" applyAlignment="1">
      <alignment vertical="center"/>
    </xf>
    <xf numFmtId="164" fontId="2" fillId="0" borderId="32" xfId="233" applyNumberFormat="1" applyBorder="1" applyAlignment="1">
      <alignment horizontal="center" vertical="center"/>
    </xf>
    <xf numFmtId="0" fontId="2" fillId="0" borderId="33" xfId="233" applyBorder="1" applyAlignment="1">
      <alignment horizontal="center" vertical="center"/>
    </xf>
    <xf numFmtId="0" fontId="2" fillId="0" borderId="32" xfId="233" applyBorder="1" applyAlignment="1">
      <alignment horizontal="center" vertical="center"/>
    </xf>
    <xf numFmtId="0" fontId="2" fillId="0" borderId="0" xfId="233" applyFill="1" applyBorder="1" applyAlignment="1">
      <alignment horizontal="left" vertical="center"/>
    </xf>
    <xf numFmtId="164" fontId="2" fillId="0" borderId="0" xfId="233" applyNumberFormat="1" applyBorder="1" applyAlignment="1">
      <alignment horizontal="center" vertical="center"/>
    </xf>
    <xf numFmtId="1" fontId="2" fillId="0" borderId="34" xfId="233" applyNumberFormat="1" applyBorder="1" applyAlignment="1">
      <alignment horizontal="center" vertical="center"/>
    </xf>
    <xf numFmtId="0" fontId="2" fillId="0" borderId="31" xfId="233" applyFont="1" applyBorder="1" applyAlignment="1">
      <alignment vertical="center"/>
    </xf>
    <xf numFmtId="0" fontId="2" fillId="0" borderId="0" xfId="233" applyFont="1" applyBorder="1" applyAlignment="1">
      <alignment vertical="center"/>
    </xf>
    <xf numFmtId="164" fontId="2" fillId="0" borderId="0" xfId="233" applyNumberFormat="1" applyFont="1" applyBorder="1" applyAlignment="1">
      <alignment horizontal="center" vertical="center"/>
    </xf>
    <xf numFmtId="0" fontId="2" fillId="0" borderId="0" xfId="233" applyBorder="1" applyAlignment="1">
      <alignment horizontal="center" vertical="center"/>
    </xf>
    <xf numFmtId="0" fontId="2" fillId="0" borderId="0" xfId="233" applyFill="1" applyBorder="1" applyAlignment="1">
      <alignment vertical="center"/>
    </xf>
    <xf numFmtId="0" fontId="2" fillId="0" borderId="34" xfId="233" applyBorder="1" applyAlignment="1">
      <alignment horizontal="center" vertical="center"/>
    </xf>
    <xf numFmtId="0" fontId="2" fillId="0" borderId="0" xfId="233" applyBorder="1" applyAlignment="1">
      <alignment vertical="center" wrapText="1"/>
    </xf>
    <xf numFmtId="0" fontId="2" fillId="0" borderId="35" xfId="233" applyFont="1" applyBorder="1" applyAlignment="1">
      <alignment vertical="center"/>
    </xf>
    <xf numFmtId="0" fontId="2" fillId="0" borderId="12" xfId="233" applyBorder="1" applyAlignment="1">
      <alignment vertical="center"/>
    </xf>
    <xf numFmtId="164" fontId="2" fillId="0" borderId="12" xfId="233" applyNumberFormat="1" applyBorder="1" applyAlignment="1">
      <alignment horizontal="center" vertical="center"/>
    </xf>
    <xf numFmtId="0" fontId="2" fillId="0" borderId="36" xfId="233" applyBorder="1" applyAlignment="1">
      <alignment horizontal="center" vertical="center"/>
    </xf>
    <xf numFmtId="0" fontId="84" fillId="0" borderId="31" xfId="233" applyFont="1" applyBorder="1" applyAlignment="1">
      <alignment vertical="center"/>
    </xf>
    <xf numFmtId="164" fontId="84" fillId="0" borderId="0" xfId="233" applyNumberFormat="1" applyFont="1" applyBorder="1" applyAlignment="1">
      <alignment horizontal="center" vertical="center"/>
    </xf>
    <xf numFmtId="164" fontId="2" fillId="0" borderId="0" xfId="233" applyNumberFormat="1" applyBorder="1" applyAlignment="1">
      <alignment vertical="center"/>
    </xf>
    <xf numFmtId="0" fontId="2" fillId="0" borderId="12" xfId="233" applyBorder="1" applyAlignment="1">
      <alignment horizontal="center" vertical="center"/>
    </xf>
    <xf numFmtId="0" fontId="2" fillId="0" borderId="12" xfId="233" applyBorder="1" applyAlignment="1">
      <alignment vertical="center" wrapText="1"/>
    </xf>
    <xf numFmtId="0" fontId="2" fillId="0" borderId="36" xfId="233" applyBorder="1" applyAlignment="1">
      <alignment vertical="center"/>
    </xf>
    <xf numFmtId="49" fontId="2" fillId="0" borderId="0" xfId="233" applyNumberFormat="1" applyFill="1" applyBorder="1" applyAlignment="1">
      <alignment horizontal="center" vertical="center"/>
    </xf>
    <xf numFmtId="0" fontId="2" fillId="0" borderId="14" xfId="233" applyBorder="1" applyAlignment="1">
      <alignment vertical="center"/>
    </xf>
    <xf numFmtId="0" fontId="83" fillId="0" borderId="37" xfId="233" applyFont="1" applyBorder="1" applyAlignment="1">
      <alignment horizontal="center" vertical="center"/>
    </xf>
    <xf numFmtId="0" fontId="83" fillId="0" borderId="37" xfId="233" applyFont="1" applyBorder="1" applyAlignment="1">
      <alignment horizontal="center" vertical="center" wrapText="1"/>
    </xf>
    <xf numFmtId="0" fontId="83" fillId="0" borderId="38" xfId="233" applyFont="1" applyBorder="1" applyAlignment="1">
      <alignment horizontal="center" vertical="center" wrapText="1"/>
    </xf>
    <xf numFmtId="0" fontId="2" fillId="0" borderId="38" xfId="233" applyBorder="1" applyAlignment="1">
      <alignment vertical="center"/>
    </xf>
    <xf numFmtId="0" fontId="2" fillId="0" borderId="25" xfId="233" applyBorder="1" applyAlignment="1">
      <alignment horizontal="center" vertical="center"/>
    </xf>
    <xf numFmtId="0" fontId="2" fillId="0" borderId="38" xfId="233" applyBorder="1" applyAlignment="1">
      <alignment horizontal="center" vertical="center"/>
    </xf>
    <xf numFmtId="0" fontId="2" fillId="0" borderId="24" xfId="233" applyBorder="1" applyAlignment="1">
      <alignment horizontal="center" vertical="center" wrapText="1"/>
    </xf>
    <xf numFmtId="0" fontId="2" fillId="0" borderId="25" xfId="233" applyBorder="1" applyAlignment="1">
      <alignment horizontal="center" vertical="center" wrapText="1"/>
    </xf>
    <xf numFmtId="0" fontId="2" fillId="0" borderId="26" xfId="233" applyBorder="1" applyAlignment="1">
      <alignment horizontal="center" vertical="center" wrapText="1"/>
    </xf>
    <xf numFmtId="0" fontId="2" fillId="0" borderId="39" xfId="233" applyBorder="1" applyAlignment="1">
      <alignment horizontal="center" vertical="center" wrapText="1"/>
    </xf>
    <xf numFmtId="0" fontId="2" fillId="0" borderId="39" xfId="233" applyFill="1" applyBorder="1" applyAlignment="1">
      <alignment horizontal="center" vertical="center" wrapText="1"/>
    </xf>
    <xf numFmtId="0" fontId="2" fillId="0" borderId="38" xfId="233" applyFill="1" applyBorder="1" applyAlignment="1">
      <alignment horizontal="center" vertical="center" wrapText="1"/>
    </xf>
    <xf numFmtId="0" fontId="2" fillId="0" borderId="24" xfId="233" applyFill="1" applyBorder="1" applyAlignment="1">
      <alignment horizontal="center" vertical="center" wrapText="1"/>
    </xf>
    <xf numFmtId="0" fontId="2" fillId="0" borderId="25" xfId="233" applyFill="1" applyBorder="1" applyAlignment="1">
      <alignment horizontal="center" vertical="center" wrapText="1"/>
    </xf>
    <xf numFmtId="0" fontId="2" fillId="0" borderId="26" xfId="233" applyFill="1" applyBorder="1" applyAlignment="1">
      <alignment horizontal="center" vertical="center" wrapText="1"/>
    </xf>
    <xf numFmtId="0" fontId="2" fillId="0" borderId="25" xfId="233" applyFill="1" applyBorder="1" applyAlignment="1">
      <alignment horizontal="center" vertical="center"/>
    </xf>
    <xf numFmtId="0" fontId="2" fillId="0" borderId="40" xfId="233" applyFill="1" applyBorder="1" applyAlignment="1">
      <alignment vertical="center"/>
    </xf>
    <xf numFmtId="0" fontId="2" fillId="0" borderId="38" xfId="233" applyFill="1" applyBorder="1" applyAlignment="1">
      <alignment horizontal="center" vertical="center"/>
    </xf>
    <xf numFmtId="0" fontId="2" fillId="0" borderId="17" xfId="233" applyFill="1" applyBorder="1" applyAlignment="1">
      <alignment horizontal="center" vertical="center"/>
    </xf>
    <xf numFmtId="0" fontId="2" fillId="0" borderId="21" xfId="233" applyFill="1" applyBorder="1" applyAlignment="1">
      <alignment horizontal="center" vertical="center"/>
    </xf>
    <xf numFmtId="0" fontId="2" fillId="0" borderId="16" xfId="233" applyFill="1" applyBorder="1" applyAlignment="1">
      <alignment horizontal="center" vertical="center"/>
    </xf>
    <xf numFmtId="0" fontId="2" fillId="0" borderId="41" xfId="233" applyFill="1" applyBorder="1" applyAlignment="1">
      <alignment horizontal="center" vertical="center"/>
    </xf>
    <xf numFmtId="0" fontId="2" fillId="0" borderId="38" xfId="233" applyFill="1" applyBorder="1" applyAlignment="1">
      <alignment vertical="center"/>
    </xf>
    <xf numFmtId="0" fontId="2" fillId="0" borderId="0" xfId="233" applyFill="1" applyAlignment="1">
      <alignment vertical="center"/>
    </xf>
    <xf numFmtId="49" fontId="2" fillId="28" borderId="19" xfId="233" applyNumberFormat="1" applyFill="1" applyBorder="1" applyAlignment="1">
      <alignment horizontal="center" vertical="center"/>
    </xf>
    <xf numFmtId="0" fontId="2" fillId="28" borderId="19" xfId="233" applyFill="1" applyBorder="1" applyAlignment="1">
      <alignment horizontal="center"/>
    </xf>
    <xf numFmtId="0" fontId="2" fillId="28" borderId="19" xfId="233" applyFill="1" applyBorder="1"/>
    <xf numFmtId="0" fontId="2" fillId="28" borderId="23" xfId="233" applyFill="1" applyBorder="1" applyAlignment="1">
      <alignment horizontal="center"/>
    </xf>
    <xf numFmtId="164" fontId="2" fillId="28" borderId="24" xfId="233" applyNumberFormat="1" applyFill="1" applyBorder="1" applyAlignment="1">
      <alignment horizontal="center"/>
    </xf>
    <xf numFmtId="164" fontId="2" fillId="28" borderId="25" xfId="233" applyNumberFormat="1" applyFill="1" applyBorder="1" applyAlignment="1">
      <alignment horizontal="center"/>
    </xf>
    <xf numFmtId="164" fontId="2" fillId="28" borderId="26" xfId="233" applyNumberFormat="1" applyFill="1" applyBorder="1" applyAlignment="1">
      <alignment horizontal="center"/>
    </xf>
    <xf numFmtId="164" fontId="2" fillId="28" borderId="39" xfId="233" applyNumberFormat="1" applyFill="1" applyBorder="1" applyAlignment="1">
      <alignment horizontal="center"/>
    </xf>
    <xf numFmtId="164" fontId="2" fillId="28" borderId="38" xfId="233" applyNumberFormat="1" applyFill="1" applyBorder="1" applyAlignment="1">
      <alignment horizontal="center"/>
    </xf>
    <xf numFmtId="0" fontId="2" fillId="28" borderId="38" xfId="233" applyFill="1" applyBorder="1"/>
    <xf numFmtId="49" fontId="2" fillId="29" borderId="19" xfId="233" applyNumberFormat="1" applyFill="1" applyBorder="1" applyAlignment="1">
      <alignment horizontal="center" vertical="center"/>
    </xf>
    <xf numFmtId="0" fontId="2" fillId="29" borderId="19" xfId="233" applyFill="1" applyBorder="1" applyAlignment="1">
      <alignment horizontal="center"/>
    </xf>
    <xf numFmtId="0" fontId="2" fillId="29" borderId="19" xfId="233" applyFill="1" applyBorder="1"/>
    <xf numFmtId="0" fontId="2" fillId="29" borderId="23" xfId="233" applyFill="1" applyBorder="1" applyAlignment="1">
      <alignment horizontal="center"/>
    </xf>
    <xf numFmtId="164" fontId="2" fillId="29" borderId="18" xfId="233" applyNumberFormat="1" applyFill="1" applyBorder="1" applyAlignment="1">
      <alignment horizontal="center"/>
    </xf>
    <xf numFmtId="164" fontId="2" fillId="29" borderId="19" xfId="233" applyNumberFormat="1" applyFill="1" applyBorder="1" applyAlignment="1">
      <alignment horizontal="center"/>
    </xf>
    <xf numFmtId="164" fontId="2" fillId="29" borderId="20" xfId="233" applyNumberFormat="1" applyFill="1" applyBorder="1" applyAlignment="1">
      <alignment horizontal="center"/>
    </xf>
    <xf numFmtId="164" fontId="2" fillId="29" borderId="42" xfId="233" applyNumberFormat="1" applyFill="1" applyBorder="1" applyAlignment="1">
      <alignment horizontal="center"/>
    </xf>
    <xf numFmtId="164" fontId="2" fillId="29" borderId="38" xfId="233" applyNumberFormat="1" applyFill="1" applyBorder="1" applyAlignment="1">
      <alignment horizontal="center"/>
    </xf>
    <xf numFmtId="0" fontId="2" fillId="29" borderId="38" xfId="233" applyFill="1" applyBorder="1"/>
    <xf numFmtId="164" fontId="2" fillId="28" borderId="18" xfId="233" applyNumberFormat="1" applyFill="1" applyBorder="1" applyAlignment="1">
      <alignment horizontal="center"/>
    </xf>
    <xf numFmtId="164" fontId="2" fillId="28" borderId="19" xfId="233" applyNumberFormat="1" applyFill="1" applyBorder="1" applyAlignment="1">
      <alignment horizontal="center"/>
    </xf>
    <xf numFmtId="164" fontId="2" fillId="28" borderId="20" xfId="233" applyNumberFormat="1" applyFill="1" applyBorder="1" applyAlignment="1">
      <alignment horizontal="center"/>
    </xf>
    <xf numFmtId="164" fontId="2" fillId="28" borderId="42" xfId="233" applyNumberFormat="1" applyFill="1" applyBorder="1" applyAlignment="1">
      <alignment horizontal="center"/>
    </xf>
    <xf numFmtId="0" fontId="2" fillId="28" borderId="27" xfId="233" applyFill="1" applyBorder="1" applyAlignment="1">
      <alignment horizontal="center"/>
    </xf>
    <xf numFmtId="0" fontId="2" fillId="28" borderId="27" xfId="233" applyFill="1" applyBorder="1"/>
    <xf numFmtId="0" fontId="2" fillId="28" borderId="28" xfId="233" applyFill="1" applyBorder="1" applyAlignment="1">
      <alignment horizontal="center"/>
    </xf>
    <xf numFmtId="164" fontId="2" fillId="28" borderId="29" xfId="233" applyNumberFormat="1" applyFill="1" applyBorder="1" applyAlignment="1">
      <alignment horizontal="center"/>
    </xf>
    <xf numFmtId="164" fontId="2" fillId="28" borderId="27" xfId="233" applyNumberFormat="1" applyFill="1" applyBorder="1" applyAlignment="1">
      <alignment horizontal="center"/>
    </xf>
    <xf numFmtId="164" fontId="2" fillId="28" borderId="30" xfId="233" applyNumberFormat="1" applyFill="1" applyBorder="1" applyAlignment="1">
      <alignment horizontal="center"/>
    </xf>
    <xf numFmtId="164" fontId="2" fillId="28" borderId="43" xfId="233" applyNumberFormat="1" applyFill="1" applyBorder="1" applyAlignment="1">
      <alignment horizontal="center"/>
    </xf>
    <xf numFmtId="0" fontId="2" fillId="28" borderId="42" xfId="233" applyFill="1" applyBorder="1"/>
    <xf numFmtId="0" fontId="2" fillId="29" borderId="25" xfId="233" applyFill="1" applyBorder="1" applyAlignment="1">
      <alignment horizontal="center"/>
    </xf>
    <xf numFmtId="0" fontId="2" fillId="29" borderId="25" xfId="233" applyFill="1" applyBorder="1"/>
    <xf numFmtId="0" fontId="2" fillId="29" borderId="44" xfId="233" applyFill="1" applyBorder="1" applyAlignment="1">
      <alignment horizontal="center"/>
    </xf>
    <xf numFmtId="164" fontId="2" fillId="29" borderId="24" xfId="233" applyNumberFormat="1" applyFill="1" applyBorder="1" applyAlignment="1">
      <alignment horizontal="center"/>
    </xf>
    <xf numFmtId="164" fontId="2" fillId="29" borderId="25" xfId="233" applyNumberFormat="1" applyFill="1" applyBorder="1" applyAlignment="1">
      <alignment horizontal="center"/>
    </xf>
    <xf numFmtId="0" fontId="2" fillId="29" borderId="26" xfId="233" applyFill="1" applyBorder="1" applyAlignment="1">
      <alignment horizontal="center"/>
    </xf>
    <xf numFmtId="0" fontId="2" fillId="29" borderId="39" xfId="233" applyFill="1" applyBorder="1" applyAlignment="1">
      <alignment horizontal="center"/>
    </xf>
    <xf numFmtId="164" fontId="2" fillId="29" borderId="39" xfId="233" applyNumberFormat="1" applyFill="1" applyBorder="1" applyAlignment="1">
      <alignment horizontal="center"/>
    </xf>
    <xf numFmtId="0" fontId="2" fillId="29" borderId="14" xfId="233" applyFill="1" applyBorder="1"/>
    <xf numFmtId="0" fontId="2" fillId="29" borderId="24" xfId="233" applyFill="1" applyBorder="1" applyAlignment="1">
      <alignment horizontal="center"/>
    </xf>
    <xf numFmtId="164" fontId="2" fillId="29" borderId="26" xfId="233" applyNumberFormat="1" applyFill="1" applyBorder="1" applyAlignment="1">
      <alignment horizontal="center"/>
    </xf>
    <xf numFmtId="0" fontId="2" fillId="28" borderId="20" xfId="233" applyFill="1" applyBorder="1" applyAlignment="1">
      <alignment horizontal="center"/>
    </xf>
    <xf numFmtId="0" fontId="2" fillId="28" borderId="42" xfId="233" applyFill="1" applyBorder="1" applyAlignment="1">
      <alignment horizontal="center"/>
    </xf>
    <xf numFmtId="0" fontId="2" fillId="28" borderId="18" xfId="233" applyFill="1" applyBorder="1" applyAlignment="1">
      <alignment horizontal="center"/>
    </xf>
    <xf numFmtId="164" fontId="2" fillId="29" borderId="29" xfId="233" applyNumberFormat="1" applyFill="1" applyBorder="1" applyAlignment="1">
      <alignment horizontal="center"/>
    </xf>
    <xf numFmtId="164" fontId="2" fillId="29" borderId="27" xfId="233" applyNumberFormat="1" applyFill="1" applyBorder="1" applyAlignment="1">
      <alignment horizontal="center"/>
    </xf>
    <xf numFmtId="164" fontId="2" fillId="29" borderId="30" xfId="233" applyNumberFormat="1" applyFill="1" applyBorder="1" applyAlignment="1">
      <alignment horizontal="center"/>
    </xf>
    <xf numFmtId="164" fontId="2" fillId="29" borderId="43" xfId="233" applyNumberFormat="1" applyFill="1" applyBorder="1" applyAlignment="1">
      <alignment horizontal="center"/>
    </xf>
    <xf numFmtId="0" fontId="2" fillId="0" borderId="0" xfId="233" applyAlignment="1">
      <alignment horizontal="center"/>
    </xf>
    <xf numFmtId="0" fontId="2" fillId="0" borderId="0" xfId="233"/>
    <xf numFmtId="0" fontId="2" fillId="0" borderId="0" xfId="233" applyBorder="1"/>
    <xf numFmtId="0" fontId="2" fillId="0" borderId="0" xfId="233" applyBorder="1" applyAlignment="1">
      <alignment horizontal="center"/>
    </xf>
    <xf numFmtId="164" fontId="2" fillId="0" borderId="0" xfId="233" applyNumberFormat="1" applyAlignment="1">
      <alignment horizontal="center"/>
    </xf>
    <xf numFmtId="164" fontId="2" fillId="0" borderId="0" xfId="233" applyNumberFormat="1" applyBorder="1" applyAlignment="1">
      <alignment horizontal="center"/>
    </xf>
    <xf numFmtId="164" fontId="2" fillId="0" borderId="0" xfId="233" applyNumberFormat="1" applyAlignment="1">
      <alignment vertical="center"/>
    </xf>
    <xf numFmtId="0" fontId="3" fillId="0" borderId="0" xfId="208" applyAlignment="1" applyProtection="1">
      <alignment horizontal="left" vertical="center"/>
    </xf>
    <xf numFmtId="0" fontId="3" fillId="0" borderId="0" xfId="208" applyAlignment="1" applyProtection="1">
      <alignment horizontal="center" vertical="center"/>
    </xf>
    <xf numFmtId="0" fontId="85" fillId="0" borderId="0" xfId="233" applyFont="1" applyFill="1" applyBorder="1" applyAlignment="1">
      <alignment vertical="center"/>
    </xf>
    <xf numFmtId="0" fontId="85" fillId="0" borderId="0" xfId="233" applyFont="1" applyFill="1" applyAlignment="1">
      <alignment vertical="center"/>
    </xf>
    <xf numFmtId="0" fontId="5" fillId="0" borderId="0" xfId="0" applyFont="1" applyFill="1" applyBorder="1"/>
    <xf numFmtId="179" fontId="87" fillId="0" borderId="0" xfId="0" applyNumberFormat="1" applyFont="1" applyFill="1" applyBorder="1" applyAlignment="1">
      <alignment horizontal="center" vertical="center"/>
    </xf>
    <xf numFmtId="0" fontId="87" fillId="0" borderId="0" xfId="0" applyFont="1" applyFill="1" applyAlignment="1">
      <alignment horizontal="center" vertical="center"/>
    </xf>
    <xf numFmtId="0" fontId="88" fillId="0" borderId="0" xfId="0" applyFont="1" applyFill="1" applyAlignment="1">
      <alignment horizontal="center" vertical="center"/>
    </xf>
    <xf numFmtId="164" fontId="7" fillId="30" borderId="44" xfId="0" applyNumberFormat="1" applyFont="1" applyFill="1" applyBorder="1" applyAlignment="1">
      <alignment horizontal="center" vertical="center"/>
    </xf>
    <xf numFmtId="164" fontId="7" fillId="0" borderId="23" xfId="0" applyNumberFormat="1" applyFont="1" applyFill="1" applyBorder="1" applyAlignment="1">
      <alignment horizontal="center" vertical="center"/>
    </xf>
    <xf numFmtId="164" fontId="7" fillId="30" borderId="23" xfId="0" applyNumberFormat="1" applyFont="1" applyFill="1" applyBorder="1" applyAlignment="1">
      <alignment horizontal="center" vertical="center"/>
    </xf>
    <xf numFmtId="164" fontId="7" fillId="30" borderId="28" xfId="0" applyNumberFormat="1" applyFont="1" applyFill="1" applyBorder="1" applyAlignment="1">
      <alignment horizontal="center" vertical="center"/>
    </xf>
    <xf numFmtId="0" fontId="7" fillId="0" borderId="0" xfId="0" applyFont="1" applyAlignment="1">
      <alignment horizontal="right"/>
    </xf>
    <xf numFmtId="0" fontId="5" fillId="0" borderId="0" xfId="0" applyFont="1" applyAlignment="1">
      <alignment horizontal="right"/>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164" fontId="7" fillId="30" borderId="30" xfId="0" applyNumberFormat="1" applyFont="1" applyFill="1" applyBorder="1" applyAlignment="1">
      <alignment horizontal="center"/>
    </xf>
    <xf numFmtId="0" fontId="7" fillId="0" borderId="0" xfId="226" applyFont="1" applyAlignment="1"/>
    <xf numFmtId="0" fontId="5" fillId="0" borderId="17" xfId="226" applyFont="1" applyFill="1" applyBorder="1" applyAlignment="1">
      <alignment horizontal="center" vertical="center" wrapText="1"/>
    </xf>
    <xf numFmtId="0" fontId="5" fillId="0" borderId="21" xfId="226" applyFont="1" applyFill="1" applyBorder="1" applyAlignment="1">
      <alignment horizontal="center" vertical="center" wrapText="1"/>
    </xf>
    <xf numFmtId="0" fontId="5" fillId="0" borderId="16" xfId="226" applyFont="1" applyFill="1" applyBorder="1" applyAlignment="1">
      <alignment horizontal="center" vertical="center" wrapText="1"/>
    </xf>
    <xf numFmtId="0" fontId="7" fillId="0" borderId="0" xfId="226" applyFont="1" applyAlignment="1">
      <alignment horizontal="center" vertical="center"/>
    </xf>
    <xf numFmtId="1" fontId="7" fillId="30" borderId="19" xfId="226" applyNumberFormat="1" applyFont="1" applyFill="1" applyBorder="1" applyAlignment="1">
      <alignment horizontal="center"/>
    </xf>
    <xf numFmtId="1" fontId="7" fillId="30" borderId="23" xfId="226" applyNumberFormat="1" applyFont="1" applyFill="1" applyBorder="1" applyAlignment="1">
      <alignment horizontal="left"/>
    </xf>
    <xf numFmtId="180" fontId="7" fillId="30" borderId="24" xfId="226" applyNumberFormat="1" applyFont="1" applyFill="1" applyBorder="1" applyAlignment="1">
      <alignment vertical="center"/>
    </xf>
    <xf numFmtId="180" fontId="7" fillId="30" borderId="25" xfId="226" applyNumberFormat="1" applyFont="1" applyFill="1" applyBorder="1" applyAlignment="1">
      <alignment vertical="center"/>
    </xf>
    <xf numFmtId="167" fontId="7" fillId="30" borderId="25" xfId="226" applyNumberFormat="1" applyFont="1" applyFill="1" applyBorder="1" applyAlignment="1">
      <alignment horizontal="center"/>
    </xf>
    <xf numFmtId="167" fontId="7" fillId="30" borderId="26" xfId="226" applyNumberFormat="1" applyFont="1" applyFill="1" applyBorder="1" applyAlignment="1">
      <alignment horizontal="center"/>
    </xf>
    <xf numFmtId="165" fontId="7" fillId="30" borderId="24" xfId="226" applyNumberFormat="1" applyFont="1" applyFill="1" applyBorder="1" applyAlignment="1">
      <alignment horizontal="center"/>
    </xf>
    <xf numFmtId="165" fontId="7" fillId="30" borderId="25" xfId="226" applyNumberFormat="1" applyFont="1" applyFill="1" applyBorder="1" applyAlignment="1">
      <alignment horizontal="center"/>
    </xf>
    <xf numFmtId="178" fontId="7" fillId="30" borderId="25" xfId="226" applyNumberFormat="1" applyFont="1" applyFill="1" applyBorder="1" applyAlignment="1">
      <alignment horizontal="center"/>
    </xf>
    <xf numFmtId="181" fontId="7" fillId="30" borderId="25" xfId="226" applyNumberFormat="1" applyFont="1" applyFill="1" applyBorder="1" applyAlignment="1">
      <alignment horizontal="center"/>
    </xf>
    <xf numFmtId="0" fontId="7" fillId="30" borderId="26" xfId="226" applyFont="1" applyFill="1" applyBorder="1" applyAlignment="1">
      <alignment horizontal="center"/>
    </xf>
    <xf numFmtId="1" fontId="7" fillId="0" borderId="19" xfId="226" applyNumberFormat="1" applyFont="1" applyFill="1" applyBorder="1" applyAlignment="1">
      <alignment horizontal="center"/>
    </xf>
    <xf numFmtId="1" fontId="7" fillId="0" borderId="23" xfId="226" applyNumberFormat="1" applyFont="1" applyFill="1" applyBorder="1" applyAlignment="1">
      <alignment horizontal="left"/>
    </xf>
    <xf numFmtId="180" fontId="7" fillId="0" borderId="18" xfId="226" applyNumberFormat="1" applyFont="1" applyFill="1" applyBorder="1" applyAlignment="1">
      <alignment vertical="center"/>
    </xf>
    <xf numFmtId="180" fontId="7" fillId="0" borderId="19" xfId="226" applyNumberFormat="1" applyFont="1" applyFill="1" applyBorder="1" applyAlignment="1">
      <alignment vertical="center"/>
    </xf>
    <xf numFmtId="167" fontId="7" fillId="0" borderId="19" xfId="226" applyNumberFormat="1" applyFont="1" applyFill="1" applyBorder="1" applyAlignment="1">
      <alignment horizontal="center"/>
    </xf>
    <xf numFmtId="167" fontId="7" fillId="0" borderId="20" xfId="226" applyNumberFormat="1" applyFont="1" applyFill="1" applyBorder="1" applyAlignment="1">
      <alignment horizontal="center"/>
    </xf>
    <xf numFmtId="165" fontId="7" fillId="0" borderId="18" xfId="226" applyNumberFormat="1" applyFont="1" applyFill="1" applyBorder="1" applyAlignment="1">
      <alignment horizontal="center"/>
    </xf>
    <xf numFmtId="165" fontId="7" fillId="0" borderId="19" xfId="226" applyNumberFormat="1" applyFont="1" applyFill="1" applyBorder="1" applyAlignment="1">
      <alignment horizontal="center"/>
    </xf>
    <xf numFmtId="178" fontId="7" fillId="0" borderId="19" xfId="226" applyNumberFormat="1" applyFont="1" applyFill="1" applyBorder="1" applyAlignment="1">
      <alignment horizontal="center"/>
    </xf>
    <xf numFmtId="181" fontId="7" fillId="0" borderId="19" xfId="226" applyNumberFormat="1" applyFont="1" applyFill="1" applyBorder="1" applyAlignment="1">
      <alignment horizontal="center"/>
    </xf>
    <xf numFmtId="0" fontId="7" fillId="0" borderId="20" xfId="226" applyFont="1" applyFill="1" applyBorder="1" applyAlignment="1">
      <alignment horizontal="center"/>
    </xf>
    <xf numFmtId="0" fontId="7" fillId="0" borderId="0" xfId="226" applyFont="1" applyFill="1" applyAlignment="1"/>
    <xf numFmtId="180" fontId="7" fillId="30" borderId="18" xfId="226" applyNumberFormat="1" applyFont="1" applyFill="1" applyBorder="1" applyAlignment="1">
      <alignment vertical="center"/>
    </xf>
    <xf numFmtId="180" fontId="7" fillId="30" borderId="19" xfId="226" applyNumberFormat="1" applyFont="1" applyFill="1" applyBorder="1" applyAlignment="1">
      <alignment vertical="center"/>
    </xf>
    <xf numFmtId="167" fontId="7" fillId="30" borderId="19" xfId="226" applyNumberFormat="1" applyFont="1" applyFill="1" applyBorder="1" applyAlignment="1">
      <alignment horizontal="center"/>
    </xf>
    <xf numFmtId="167" fontId="7" fillId="30" borderId="20" xfId="226" applyNumberFormat="1" applyFont="1" applyFill="1" applyBorder="1" applyAlignment="1">
      <alignment horizontal="center"/>
    </xf>
    <xf numFmtId="165" fontId="7" fillId="30" borderId="18" xfId="226" applyNumberFormat="1" applyFont="1" applyFill="1" applyBorder="1" applyAlignment="1">
      <alignment horizontal="center"/>
    </xf>
    <xf numFmtId="165" fontId="7" fillId="30" borderId="19" xfId="226" applyNumberFormat="1" applyFont="1" applyFill="1" applyBorder="1" applyAlignment="1">
      <alignment horizontal="center"/>
    </xf>
    <xf numFmtId="178" fontId="7" fillId="30" borderId="19" xfId="226" applyNumberFormat="1" applyFont="1" applyFill="1" applyBorder="1" applyAlignment="1">
      <alignment horizontal="center"/>
    </xf>
    <xf numFmtId="181" fontId="7" fillId="30" borderId="19" xfId="226" applyNumberFormat="1" applyFont="1" applyFill="1" applyBorder="1" applyAlignment="1">
      <alignment horizontal="center"/>
    </xf>
    <xf numFmtId="0" fontId="7" fillId="30" borderId="20" xfId="226" applyFont="1" applyFill="1" applyBorder="1" applyAlignment="1">
      <alignment horizontal="center"/>
    </xf>
    <xf numFmtId="0" fontId="7" fillId="30" borderId="19" xfId="226" applyFont="1" applyFill="1" applyBorder="1" applyAlignment="1">
      <alignment horizontal="center"/>
    </xf>
    <xf numFmtId="0" fontId="7" fillId="0" borderId="19" xfId="226" applyFont="1" applyFill="1" applyBorder="1" applyAlignment="1">
      <alignment horizontal="center"/>
    </xf>
    <xf numFmtId="180" fontId="7" fillId="30" borderId="17" xfId="226" applyNumberFormat="1" applyFont="1" applyFill="1" applyBorder="1" applyAlignment="1">
      <alignment vertical="center"/>
    </xf>
    <xf numFmtId="180" fontId="7" fillId="30" borderId="21" xfId="226" applyNumberFormat="1" applyFont="1" applyFill="1" applyBorder="1" applyAlignment="1">
      <alignment vertical="center"/>
    </xf>
    <xf numFmtId="167" fontId="7" fillId="30" borderId="21" xfId="226" applyNumberFormat="1" applyFont="1" applyFill="1" applyBorder="1" applyAlignment="1">
      <alignment horizontal="center"/>
    </xf>
    <xf numFmtId="167" fontId="7" fillId="30" borderId="16" xfId="226" applyNumberFormat="1" applyFont="1" applyFill="1" applyBorder="1" applyAlignment="1">
      <alignment horizontal="center"/>
    </xf>
    <xf numFmtId="165" fontId="7" fillId="30" borderId="17" xfId="226" applyNumberFormat="1" applyFont="1" applyFill="1" applyBorder="1" applyAlignment="1">
      <alignment horizontal="center"/>
    </xf>
    <xf numFmtId="165" fontId="7" fillId="30" borderId="21" xfId="226" applyNumberFormat="1" applyFont="1" applyFill="1" applyBorder="1" applyAlignment="1">
      <alignment horizontal="center"/>
    </xf>
    <xf numFmtId="178" fontId="7" fillId="30" borderId="21" xfId="226" applyNumberFormat="1" applyFont="1" applyFill="1" applyBorder="1" applyAlignment="1">
      <alignment horizontal="center"/>
    </xf>
    <xf numFmtId="181" fontId="7" fillId="30" borderId="21" xfId="226" applyNumberFormat="1" applyFont="1" applyFill="1" applyBorder="1" applyAlignment="1">
      <alignment horizontal="center"/>
    </xf>
    <xf numFmtId="0" fontId="7" fillId="30" borderId="16" xfId="226" applyFont="1" applyFill="1" applyBorder="1" applyAlignment="1">
      <alignment horizontal="center"/>
    </xf>
    <xf numFmtId="1" fontId="7" fillId="0" borderId="0" xfId="226" applyNumberFormat="1" applyFont="1" applyFill="1" applyAlignment="1">
      <alignment horizontal="center"/>
    </xf>
    <xf numFmtId="1" fontId="7" fillId="0" borderId="0" xfId="226" applyNumberFormat="1" applyFont="1" applyFill="1" applyAlignment="1">
      <alignment horizontal="left"/>
    </xf>
    <xf numFmtId="180" fontId="7" fillId="0" borderId="0" xfId="226" applyNumberFormat="1" applyFont="1" applyFill="1" applyAlignment="1"/>
    <xf numFmtId="167" fontId="7" fillId="0" borderId="0" xfId="226" applyNumberFormat="1" applyFont="1" applyFill="1" applyAlignment="1">
      <alignment horizontal="center"/>
    </xf>
    <xf numFmtId="1" fontId="7" fillId="0" borderId="0" xfId="226" applyNumberFormat="1" applyFont="1" applyFill="1" applyAlignment="1">
      <alignment horizontal="left" wrapText="1"/>
    </xf>
    <xf numFmtId="0" fontId="7" fillId="0" borderId="0" xfId="0" applyFont="1" applyFill="1" applyAlignment="1">
      <alignment horizontal="right"/>
    </xf>
    <xf numFmtId="0" fontId="7" fillId="0" borderId="23" xfId="0" applyFont="1" applyFill="1" applyBorder="1" applyAlignment="1">
      <alignment horizontal="center" vertical="center" wrapText="1"/>
    </xf>
    <xf numFmtId="0" fontId="7" fillId="30" borderId="20" xfId="0" applyFont="1" applyFill="1" applyBorder="1" applyAlignment="1">
      <alignment horizontal="center" vertical="center"/>
    </xf>
    <xf numFmtId="0" fontId="7" fillId="30" borderId="26" xfId="0" applyFont="1" applyFill="1" applyBorder="1" applyAlignment="1">
      <alignment horizontal="center" vertical="center"/>
    </xf>
    <xf numFmtId="0" fontId="87" fillId="0" borderId="16" xfId="0" applyFont="1" applyFill="1" applyBorder="1" applyAlignment="1">
      <alignment horizontal="center" vertical="center"/>
    </xf>
    <xf numFmtId="0" fontId="7" fillId="30" borderId="30" xfId="0" applyFont="1" applyFill="1" applyBorder="1" applyAlignment="1">
      <alignment horizontal="center" vertical="center"/>
    </xf>
    <xf numFmtId="0" fontId="5" fillId="0" borderId="0" xfId="226" applyFont="1" applyAlignment="1"/>
    <xf numFmtId="0" fontId="79" fillId="0" borderId="0" xfId="226" applyFont="1" applyAlignment="1"/>
    <xf numFmtId="0" fontId="7" fillId="0" borderId="0" xfId="226" applyFont="1" applyAlignment="1">
      <alignment horizontal="center"/>
    </xf>
    <xf numFmtId="0" fontId="7" fillId="0" borderId="0" xfId="226" applyFont="1" applyBorder="1" applyAlignment="1"/>
    <xf numFmtId="1" fontId="7" fillId="0" borderId="19" xfId="226" applyNumberFormat="1" applyFont="1" applyFill="1" applyBorder="1" applyAlignment="1">
      <alignment horizontal="left"/>
    </xf>
    <xf numFmtId="0" fontId="7" fillId="0" borderId="0" xfId="226" applyFont="1" applyFill="1" applyBorder="1" applyAlignment="1">
      <alignment horizontal="left"/>
    </xf>
    <xf numFmtId="17" fontId="7" fillId="0" borderId="0" xfId="226" applyNumberFormat="1" applyFont="1" applyFill="1" applyBorder="1"/>
    <xf numFmtId="0" fontId="7" fillId="0" borderId="0" xfId="226" applyFont="1" applyFill="1" applyBorder="1" applyAlignment="1">
      <alignment horizontal="right"/>
    </xf>
    <xf numFmtId="182" fontId="7" fillId="0" borderId="0" xfId="157" applyNumberFormat="1" applyFont="1" applyFill="1" applyBorder="1"/>
    <xf numFmtId="0" fontId="79" fillId="0" borderId="0" xfId="0" applyFont="1" applyFill="1" applyBorder="1"/>
    <xf numFmtId="166" fontId="81" fillId="0" borderId="0" xfId="0" applyNumberFormat="1" applyFont="1" applyFill="1" applyBorder="1" applyAlignment="1">
      <alignment horizontal="left"/>
    </xf>
    <xf numFmtId="0" fontId="77" fillId="0" borderId="0" xfId="0" applyFont="1" applyFill="1" applyBorder="1"/>
    <xf numFmtId="179" fontId="87" fillId="0" borderId="0" xfId="226" applyNumberFormat="1" applyFont="1" applyAlignment="1">
      <alignment horizontal="center" vertical="center"/>
    </xf>
    <xf numFmtId="179" fontId="87" fillId="0" borderId="0" xfId="226" applyNumberFormat="1" applyFont="1" applyFill="1" applyAlignment="1">
      <alignment horizontal="center"/>
    </xf>
    <xf numFmtId="179" fontId="87" fillId="0" borderId="0" xfId="0" applyNumberFormat="1" applyFont="1" applyFill="1" applyBorder="1" applyAlignment="1">
      <alignment horizontal="center"/>
    </xf>
    <xf numFmtId="0" fontId="7" fillId="0" borderId="19" xfId="226" applyFont="1" applyFill="1" applyBorder="1" applyAlignment="1">
      <alignment horizontal="center" vertical="center" wrapText="1"/>
    </xf>
    <xf numFmtId="0" fontId="7" fillId="0" borderId="23" xfId="226" applyFont="1" applyFill="1" applyBorder="1" applyAlignment="1">
      <alignment horizontal="center" vertical="center" wrapText="1"/>
    </xf>
    <xf numFmtId="0" fontId="5" fillId="0" borderId="19" xfId="226" applyFont="1" applyFill="1" applyBorder="1" applyAlignment="1">
      <alignment horizontal="center" wrapText="1"/>
    </xf>
    <xf numFmtId="17" fontId="5" fillId="0" borderId="19" xfId="226" applyNumberFormat="1" applyFont="1" applyFill="1" applyBorder="1" applyAlignment="1">
      <alignment horizontal="center" wrapText="1"/>
    </xf>
    <xf numFmtId="17" fontId="5" fillId="0" borderId="19" xfId="226" applyNumberFormat="1" applyFont="1" applyFill="1" applyBorder="1" applyAlignment="1">
      <alignment horizontal="center"/>
    </xf>
    <xf numFmtId="0" fontId="5" fillId="0" borderId="19" xfId="226" applyFont="1" applyFill="1" applyBorder="1" applyAlignment="1">
      <alignment horizontal="center"/>
    </xf>
    <xf numFmtId="0" fontId="5" fillId="0" borderId="0" xfId="0" applyFont="1" applyFill="1" applyBorder="1" applyAlignment="1">
      <alignment wrapText="1"/>
    </xf>
    <xf numFmtId="1" fontId="7" fillId="30" borderId="19" xfId="226" applyNumberFormat="1" applyFont="1" applyFill="1" applyBorder="1" applyAlignment="1">
      <alignment horizontal="left"/>
    </xf>
    <xf numFmtId="182" fontId="7" fillId="30" borderId="19" xfId="157" applyNumberFormat="1" applyFont="1" applyFill="1" applyBorder="1" applyAlignment="1">
      <alignment horizontal="center"/>
    </xf>
    <xf numFmtId="0" fontId="0" fillId="0" borderId="0" xfId="0" applyFont="1" applyFill="1" applyAlignment="1">
      <alignment horizontal="center" vertical="center"/>
    </xf>
    <xf numFmtId="0" fontId="89" fillId="0" borderId="0" xfId="0" applyFont="1" applyFill="1" applyAlignment="1">
      <alignment horizontal="left" vertical="center"/>
    </xf>
    <xf numFmtId="0" fontId="90" fillId="0" borderId="0" xfId="0" applyFont="1" applyFill="1" applyAlignment="1">
      <alignment horizontal="left" vertical="center"/>
    </xf>
    <xf numFmtId="0" fontId="0" fillId="0" borderId="0" xfId="0" quotePrefix="1"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center" vertical="center" wrapText="1"/>
    </xf>
    <xf numFmtId="0" fontId="91" fillId="0" borderId="0" xfId="0" applyFont="1" applyFill="1" applyAlignment="1">
      <alignment horizontal="left" vertical="center"/>
    </xf>
    <xf numFmtId="0" fontId="0" fillId="0" borderId="0" xfId="0" applyFont="1" applyFill="1" applyAlignment="1">
      <alignment horizontal="left" vertical="center"/>
    </xf>
    <xf numFmtId="0" fontId="92" fillId="0" borderId="0" xfId="0" applyFont="1" applyFill="1" applyAlignment="1">
      <alignment horizontal="center"/>
    </xf>
    <xf numFmtId="164" fontId="0" fillId="0" borderId="0" xfId="0" applyNumberFormat="1" applyFont="1" applyFill="1" applyAlignment="1">
      <alignment horizontal="center" vertical="center"/>
    </xf>
    <xf numFmtId="41" fontId="92" fillId="0" borderId="0" xfId="0" applyNumberFormat="1" applyFont="1" applyFill="1"/>
    <xf numFmtId="41" fontId="92" fillId="32" borderId="0" xfId="0" applyNumberFormat="1" applyFont="1" applyFill="1"/>
    <xf numFmtId="37" fontId="0" fillId="0" borderId="0" xfId="0" applyNumberFormat="1" applyFont="1" applyFill="1" applyAlignment="1">
      <alignment horizontal="center" vertical="center" wrapText="1"/>
    </xf>
    <xf numFmtId="164" fontId="0" fillId="0" borderId="0" xfId="0" applyNumberFormat="1" applyFont="1" applyFill="1" applyAlignment="1">
      <alignment horizontal="center" vertical="center" wrapText="1"/>
    </xf>
    <xf numFmtId="41" fontId="92" fillId="0" borderId="0" xfId="0" applyNumberFormat="1" applyFont="1" applyFill="1" applyAlignment="1">
      <alignment vertical="center" wrapText="1"/>
    </xf>
    <xf numFmtId="41" fontId="92" fillId="0" borderId="0" xfId="0" applyNumberFormat="1" applyFont="1" applyFill="1" applyAlignment="1">
      <alignment vertical="center"/>
    </xf>
    <xf numFmtId="3" fontId="0" fillId="0" borderId="0" xfId="0" applyNumberFormat="1" applyFont="1" applyFill="1" applyAlignment="1">
      <alignment horizontal="center" vertical="center"/>
    </xf>
    <xf numFmtId="10" fontId="0" fillId="0" borderId="0" xfId="0" applyNumberFormat="1" applyFont="1" applyFill="1" applyAlignment="1">
      <alignment horizontal="center" vertical="center"/>
    </xf>
    <xf numFmtId="0" fontId="93" fillId="0" borderId="0" xfId="0" applyFont="1"/>
    <xf numFmtId="0" fontId="92" fillId="0" borderId="0" xfId="0" applyFont="1"/>
    <xf numFmtId="0" fontId="94" fillId="0" borderId="0" xfId="208" applyFont="1" applyAlignment="1" applyProtection="1"/>
    <xf numFmtId="41" fontId="0" fillId="0" borderId="0" xfId="0" applyNumberFormat="1" applyFont="1" applyFill="1" applyAlignment="1">
      <alignment horizontal="center" vertical="center"/>
    </xf>
    <xf numFmtId="164" fontId="7" fillId="0" borderId="0" xfId="0" applyNumberFormat="1" applyFont="1" applyFill="1" applyAlignment="1">
      <alignment vertical="center"/>
    </xf>
    <xf numFmtId="178" fontId="7" fillId="0" borderId="0" xfId="226" applyNumberFormat="1" applyFont="1" applyAlignment="1"/>
    <xf numFmtId="164" fontId="7" fillId="0" borderId="0" xfId="0" applyNumberFormat="1" applyFont="1" applyFill="1" applyBorder="1"/>
    <xf numFmtId="0" fontId="1" fillId="0" borderId="0" xfId="0" applyFont="1" applyFill="1" applyAlignment="1">
      <alignment horizontal="right" vertical="center"/>
    </xf>
    <xf numFmtId="166" fontId="81" fillId="0" borderId="0" xfId="0" applyNumberFormat="1"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1" xfId="226" applyFont="1" applyFill="1" applyBorder="1" applyAlignment="1">
      <alignment horizontal="center"/>
    </xf>
    <xf numFmtId="0" fontId="5" fillId="0" borderId="52" xfId="226" applyFont="1" applyFill="1" applyBorder="1" applyAlignment="1">
      <alignment horizontal="center"/>
    </xf>
    <xf numFmtId="0" fontId="5" fillId="0" borderId="53" xfId="226" applyFont="1" applyFill="1" applyBorder="1" applyAlignment="1">
      <alignment horizontal="center"/>
    </xf>
    <xf numFmtId="0" fontId="5" fillId="0" borderId="54" xfId="226" applyFont="1" applyFill="1" applyBorder="1" applyAlignment="1">
      <alignment horizontal="center"/>
    </xf>
    <xf numFmtId="0" fontId="5" fillId="0" borderId="55" xfId="226" applyFont="1" applyFill="1" applyBorder="1" applyAlignment="1">
      <alignment horizontal="center"/>
    </xf>
    <xf numFmtId="0" fontId="5" fillId="0" borderId="56" xfId="226" applyFont="1" applyFill="1" applyBorder="1" applyAlignment="1">
      <alignment horizontal="center"/>
    </xf>
    <xf numFmtId="166" fontId="81" fillId="0" borderId="0" xfId="226" applyNumberFormat="1" applyFont="1" applyAlignment="1">
      <alignment horizontal="left"/>
    </xf>
    <xf numFmtId="166" fontId="81" fillId="0" borderId="0" xfId="0" applyNumberFormat="1" applyFont="1" applyFill="1" applyBorder="1" applyAlignment="1">
      <alignment horizontal="left"/>
    </xf>
    <xf numFmtId="0" fontId="5" fillId="0" borderId="23" xfId="0" applyFont="1" applyFill="1" applyBorder="1" applyAlignment="1">
      <alignment horizontal="center"/>
    </xf>
    <xf numFmtId="0" fontId="5" fillId="0" borderId="38" xfId="0" applyFont="1" applyFill="1" applyBorder="1" applyAlignment="1">
      <alignment horizontal="center"/>
    </xf>
    <xf numFmtId="0" fontId="5" fillId="0" borderId="58" xfId="0" applyFont="1" applyFill="1" applyBorder="1" applyAlignment="1">
      <alignment horizontal="center"/>
    </xf>
    <xf numFmtId="0" fontId="2" fillId="0" borderId="0" xfId="233" applyAlignment="1">
      <alignment vertical="center"/>
    </xf>
    <xf numFmtId="0" fontId="2" fillId="0" borderId="0" xfId="233" applyAlignment="1">
      <alignment vertical="center" wrapText="1"/>
    </xf>
    <xf numFmtId="0" fontId="83" fillId="0" borderId="48" xfId="233" applyFont="1" applyBorder="1" applyAlignment="1">
      <alignment horizontal="center" vertical="center"/>
    </xf>
    <xf numFmtId="0" fontId="2" fillId="0" borderId="49" xfId="233" applyBorder="1" applyAlignment="1">
      <alignment vertical="center"/>
    </xf>
    <xf numFmtId="0" fontId="2" fillId="0" borderId="50" xfId="233" applyBorder="1" applyAlignment="1">
      <alignment vertical="center"/>
    </xf>
    <xf numFmtId="0" fontId="83" fillId="0" borderId="49" xfId="233" applyFont="1" applyBorder="1" applyAlignment="1">
      <alignment horizontal="center" vertical="center"/>
    </xf>
    <xf numFmtId="0" fontId="83" fillId="0" borderId="45" xfId="233" applyFont="1" applyBorder="1" applyAlignment="1">
      <alignment horizontal="center" vertical="center"/>
    </xf>
    <xf numFmtId="0" fontId="83" fillId="0" borderId="46" xfId="233" applyFont="1" applyBorder="1" applyAlignment="1">
      <alignment horizontal="center" vertical="center"/>
    </xf>
    <xf numFmtId="0" fontId="83" fillId="0" borderId="47" xfId="233" applyFont="1" applyBorder="1" applyAlignment="1">
      <alignment horizontal="center" vertical="center"/>
    </xf>
    <xf numFmtId="0" fontId="2" fillId="0" borderId="46" xfId="233" applyBorder="1" applyAlignment="1">
      <alignment horizontal="center" vertical="center"/>
    </xf>
    <xf numFmtId="0" fontId="2" fillId="0" borderId="46" xfId="233" applyBorder="1" applyAlignment="1">
      <alignment vertical="center"/>
    </xf>
    <xf numFmtId="0" fontId="2" fillId="0" borderId="47" xfId="233" applyBorder="1" applyAlignment="1">
      <alignment vertical="center"/>
    </xf>
    <xf numFmtId="0" fontId="83" fillId="0" borderId="45" xfId="233" applyFont="1" applyBorder="1" applyAlignment="1">
      <alignment horizontal="center" vertical="center" wrapText="1"/>
    </xf>
  </cellXfs>
  <cellStyles count="341">
    <cellStyle name="_%(SignOnly)" xfId="1"/>
    <cellStyle name="_%(SignOnly) 2" xfId="2"/>
    <cellStyle name="_%(SignOnly) 2 2" xfId="3"/>
    <cellStyle name="_%(SignOnly) 3" xfId="4"/>
    <cellStyle name="_%(SignSpaceOnly)" xfId="5"/>
    <cellStyle name="_%(SignSpaceOnly) 2" xfId="6"/>
    <cellStyle name="_%(SignSpaceOnly) 2 2" xfId="7"/>
    <cellStyle name="_%(SignSpaceOnly) 3" xfId="8"/>
    <cellStyle name="_Comma" xfId="9"/>
    <cellStyle name="_Comma 2" xfId="10"/>
    <cellStyle name="_Comma 2 2" xfId="11"/>
    <cellStyle name="_Comma 3" xfId="12"/>
    <cellStyle name="_Currency" xfId="13"/>
    <cellStyle name="_Currency 2" xfId="14"/>
    <cellStyle name="_Currency 2 2" xfId="15"/>
    <cellStyle name="_Currency 3" xfId="16"/>
    <cellStyle name="_CurrencySpace" xfId="17"/>
    <cellStyle name="_CurrencySpace 2" xfId="18"/>
    <cellStyle name="_CurrencySpace 2 2" xfId="19"/>
    <cellStyle name="_CurrencySpace 3" xfId="20"/>
    <cellStyle name="_Euro" xfId="21"/>
    <cellStyle name="_Euro 2" xfId="22"/>
    <cellStyle name="_Euro 2 2" xfId="23"/>
    <cellStyle name="_Euro 3" xfId="24"/>
    <cellStyle name="_Heading" xfId="25"/>
    <cellStyle name="_Highlight" xfId="26"/>
    <cellStyle name="_Highlight 2" xfId="27"/>
    <cellStyle name="_Highlight 2 2" xfId="28"/>
    <cellStyle name="_Highlight 3" xfId="29"/>
    <cellStyle name="_Multiple" xfId="30"/>
    <cellStyle name="_Multiple 2" xfId="31"/>
    <cellStyle name="_Multiple 2 2" xfId="32"/>
    <cellStyle name="_Multiple 3" xfId="33"/>
    <cellStyle name="_MultipleSpace" xfId="34"/>
    <cellStyle name="_MultipleSpace 2" xfId="35"/>
    <cellStyle name="_MultipleSpace 2 2" xfId="36"/>
    <cellStyle name="_MultipleSpace 3" xfId="37"/>
    <cellStyle name="_SubHeading" xfId="38"/>
    <cellStyle name="_Table" xfId="39"/>
    <cellStyle name="_TableHead" xfId="40"/>
    <cellStyle name="_TableRowHead" xfId="41"/>
    <cellStyle name="_TableSuperHead" xfId="42"/>
    <cellStyle name="20% - Accent1" xfId="43" builtinId="30" customBuiltin="1"/>
    <cellStyle name="20% - Accent1 2" xfId="44"/>
    <cellStyle name="20% - Accent1 3" xfId="45"/>
    <cellStyle name="20% - Accent1 4" xfId="46"/>
    <cellStyle name="20% - Accent2" xfId="47" builtinId="34" customBuiltin="1"/>
    <cellStyle name="20% - Accent2 2" xfId="48"/>
    <cellStyle name="20% - Accent2 3" xfId="49"/>
    <cellStyle name="20% - Accent2 4" xfId="50"/>
    <cellStyle name="20% - Accent3" xfId="51" builtinId="38" customBuiltin="1"/>
    <cellStyle name="20% - Accent3 2" xfId="52"/>
    <cellStyle name="20% - Accent3 3" xfId="53"/>
    <cellStyle name="20% - Accent3 4" xfId="54"/>
    <cellStyle name="20% - Accent4" xfId="55" builtinId="42" customBuiltin="1"/>
    <cellStyle name="20% - Accent4 2" xfId="56"/>
    <cellStyle name="20% - Accent4 3" xfId="57"/>
    <cellStyle name="20% - Accent4 4" xfId="58"/>
    <cellStyle name="20% - Accent5" xfId="59" builtinId="46" customBuiltin="1"/>
    <cellStyle name="20% - Accent5 2" xfId="60"/>
    <cellStyle name="20% - Accent5 3" xfId="61"/>
    <cellStyle name="20% - Accent5 4" xfId="62"/>
    <cellStyle name="20% - Accent6" xfId="63" builtinId="50" customBuiltin="1"/>
    <cellStyle name="20% - Accent6 2" xfId="64"/>
    <cellStyle name="20% - Accent6 3" xfId="65"/>
    <cellStyle name="20% - Accent6 4" xfId="66"/>
    <cellStyle name="40% - Accent1" xfId="67" builtinId="31" customBuiltin="1"/>
    <cellStyle name="40% - Accent1 2" xfId="68"/>
    <cellStyle name="40% - Accent1 3" xfId="69"/>
    <cellStyle name="40% - Accent1 4" xfId="70"/>
    <cellStyle name="40% - Accent2" xfId="71" builtinId="35" customBuiltin="1"/>
    <cellStyle name="40% - Accent2 2" xfId="72"/>
    <cellStyle name="40% - Accent2 3" xfId="73"/>
    <cellStyle name="40% - Accent2 4" xfId="74"/>
    <cellStyle name="40% - Accent3" xfId="75" builtinId="39" customBuiltin="1"/>
    <cellStyle name="40% - Accent3 2" xfId="76"/>
    <cellStyle name="40% - Accent3 3" xfId="77"/>
    <cellStyle name="40% - Accent3 4" xfId="78"/>
    <cellStyle name="40% - Accent4" xfId="79" builtinId="43" customBuiltin="1"/>
    <cellStyle name="40% - Accent4 2" xfId="80"/>
    <cellStyle name="40% - Accent4 3" xfId="81"/>
    <cellStyle name="40% - Accent4 4" xfId="82"/>
    <cellStyle name="40% - Accent5" xfId="83" builtinId="47" customBuiltin="1"/>
    <cellStyle name="40% - Accent5 2" xfId="84"/>
    <cellStyle name="40% - Accent5 3" xfId="85"/>
    <cellStyle name="40% - Accent5 4" xfId="86"/>
    <cellStyle name="40% - Accent6" xfId="87" builtinId="51" customBuiltin="1"/>
    <cellStyle name="40% - Accent6 2" xfId="88"/>
    <cellStyle name="40% - Accent6 3" xfId="89"/>
    <cellStyle name="40% - Accent6 4" xfId="90"/>
    <cellStyle name="60% - Accent1" xfId="91" builtinId="32" customBuiltin="1"/>
    <cellStyle name="60% - Accent1 2" xfId="92"/>
    <cellStyle name="60% - Accent1 3" xfId="93"/>
    <cellStyle name="60% - Accent1 4" xfId="94"/>
    <cellStyle name="60% - Accent2" xfId="95" builtinId="36" customBuiltin="1"/>
    <cellStyle name="60% - Accent2 2" xfId="96"/>
    <cellStyle name="60% - Accent2 3" xfId="97"/>
    <cellStyle name="60% - Accent2 4" xfId="98"/>
    <cellStyle name="60% - Accent3" xfId="99" builtinId="40" customBuiltin="1"/>
    <cellStyle name="60% - Accent3 2" xfId="100"/>
    <cellStyle name="60% - Accent3 3" xfId="101"/>
    <cellStyle name="60% - Accent3 4" xfId="102"/>
    <cellStyle name="60% - Accent4" xfId="103" builtinId="44" customBuiltin="1"/>
    <cellStyle name="60% - Accent4 2" xfId="104"/>
    <cellStyle name="60% - Accent4 3" xfId="105"/>
    <cellStyle name="60% - Accent4 4" xfId="106"/>
    <cellStyle name="60% - Accent5" xfId="107" builtinId="48" customBuiltin="1"/>
    <cellStyle name="60% - Accent5 2" xfId="108"/>
    <cellStyle name="60% - Accent5 3" xfId="109"/>
    <cellStyle name="60% - Accent5 4" xfId="110"/>
    <cellStyle name="60% - Accent6" xfId="111" builtinId="52" customBuiltin="1"/>
    <cellStyle name="60% - Accent6 2" xfId="112"/>
    <cellStyle name="60% - Accent6 3" xfId="113"/>
    <cellStyle name="60% - Accent6 4" xfId="114"/>
    <cellStyle name="Accent1" xfId="115" builtinId="29" customBuiltin="1"/>
    <cellStyle name="Accent1 2" xfId="116"/>
    <cellStyle name="Accent1 3" xfId="117"/>
    <cellStyle name="Accent1 4" xfId="118"/>
    <cellStyle name="Accent2" xfId="119" builtinId="33" customBuiltin="1"/>
    <cellStyle name="Accent2 2" xfId="120"/>
    <cellStyle name="Accent2 3" xfId="121"/>
    <cellStyle name="Accent2 4" xfId="122"/>
    <cellStyle name="Accent3" xfId="123" builtinId="37" customBuiltin="1"/>
    <cellStyle name="Accent3 2" xfId="124"/>
    <cellStyle name="Accent3 3" xfId="125"/>
    <cellStyle name="Accent3 4" xfId="126"/>
    <cellStyle name="Accent4" xfId="127" builtinId="41" customBuiltin="1"/>
    <cellStyle name="Accent4 2" xfId="128"/>
    <cellStyle name="Accent4 3" xfId="129"/>
    <cellStyle name="Accent4 4" xfId="130"/>
    <cellStyle name="Accent5" xfId="131" builtinId="45" customBuiltin="1"/>
    <cellStyle name="Accent5 2" xfId="132"/>
    <cellStyle name="Accent5 3" xfId="133"/>
    <cellStyle name="Accent5 4" xfId="134"/>
    <cellStyle name="Accent6" xfId="135" builtinId="49" customBuiltin="1"/>
    <cellStyle name="Accent6 2" xfId="136"/>
    <cellStyle name="Accent6 3" xfId="137"/>
    <cellStyle name="Accent6 4" xfId="138"/>
    <cellStyle name="Adjustable" xfId="139"/>
    <cellStyle name="Bad" xfId="140" builtinId="27" customBuiltin="1"/>
    <cellStyle name="Bad 2" xfId="141"/>
    <cellStyle name="Bad 3" xfId="142"/>
    <cellStyle name="Bad 4" xfId="143"/>
    <cellStyle name="Calculation" xfId="144" builtinId="22" customBuiltin="1"/>
    <cellStyle name="Calculation 2" xfId="145"/>
    <cellStyle name="Calculation 3" xfId="146"/>
    <cellStyle name="Calculation 4" xfId="147"/>
    <cellStyle name="Check Cell" xfId="148" builtinId="23" customBuiltin="1"/>
    <cellStyle name="Check Cell 2" xfId="149"/>
    <cellStyle name="Check Cell 3" xfId="150"/>
    <cellStyle name="Check Cell 4" xfId="151"/>
    <cellStyle name="Comma 0" xfId="152"/>
    <cellStyle name="Comma 10" xfId="153"/>
    <cellStyle name="Comma 11" xfId="154"/>
    <cellStyle name="Comma 2" xfId="155"/>
    <cellStyle name="Comma 2 2" xfId="156"/>
    <cellStyle name="Comma 2 3" xfId="157"/>
    <cellStyle name="Comma 3" xfId="158"/>
    <cellStyle name="Comma 4" xfId="159"/>
    <cellStyle name="Comma 5" xfId="160"/>
    <cellStyle name="Comma 5 2" xfId="161"/>
    <cellStyle name="Comma 5 3" xfId="162"/>
    <cellStyle name="Comma 6" xfId="163"/>
    <cellStyle name="Comma 6 2" xfId="164"/>
    <cellStyle name="Comma 7" xfId="165"/>
    <cellStyle name="Comma 7 2" xfId="166"/>
    <cellStyle name="Comma 8" xfId="167"/>
    <cellStyle name="Comma 8 2" xfId="168"/>
    <cellStyle name="Comma 9" xfId="169"/>
    <cellStyle name="Currency 0" xfId="170"/>
    <cellStyle name="Currency 2" xfId="171"/>
    <cellStyle name="Currency 3" xfId="172"/>
    <cellStyle name="Currency 4" xfId="173"/>
    <cellStyle name="Currency 5" xfId="174"/>
    <cellStyle name="Date" xfId="175"/>
    <cellStyle name="Date 2" xfId="176"/>
    <cellStyle name="Date 2 2" xfId="177"/>
    <cellStyle name="Date 3" xfId="178"/>
    <cellStyle name="Date Aligned" xfId="179"/>
    <cellStyle name="Dotted Line" xfId="180"/>
    <cellStyle name="Explanatory Text" xfId="181" builtinId="53" customBuiltin="1"/>
    <cellStyle name="Explanatory Text 2" xfId="182"/>
    <cellStyle name="Explanatory Text 3" xfId="183"/>
    <cellStyle name="Explanatory Text 4" xfId="184"/>
    <cellStyle name="Footnote" xfId="185"/>
    <cellStyle name="Good" xfId="186" builtinId="26" customBuiltin="1"/>
    <cellStyle name="Good 2" xfId="187"/>
    <cellStyle name="Good 3" xfId="188"/>
    <cellStyle name="Good 4" xfId="189"/>
    <cellStyle name="Hard Percent" xfId="190"/>
    <cellStyle name="Header" xfId="191"/>
    <cellStyle name="Heading 1" xfId="192" builtinId="16" customBuiltin="1"/>
    <cellStyle name="Heading 1 2" xfId="193"/>
    <cellStyle name="Heading 1 3" xfId="194"/>
    <cellStyle name="Heading 1 4" xfId="195"/>
    <cellStyle name="Heading 2" xfId="196" builtinId="17" customBuiltin="1"/>
    <cellStyle name="Heading 2 2" xfId="197"/>
    <cellStyle name="Heading 2 3" xfId="198"/>
    <cellStyle name="Heading 2 4" xfId="199"/>
    <cellStyle name="Heading 3" xfId="200" builtinId="18" customBuiltin="1"/>
    <cellStyle name="Heading 3 2" xfId="201"/>
    <cellStyle name="Heading 3 3" xfId="202"/>
    <cellStyle name="Heading 3 4" xfId="203"/>
    <cellStyle name="Heading 4" xfId="204" builtinId="19" customBuiltin="1"/>
    <cellStyle name="Heading 4 2" xfId="205"/>
    <cellStyle name="Heading 4 3" xfId="206"/>
    <cellStyle name="Heading 4 4" xfId="207"/>
    <cellStyle name="Hyperlink" xfId="208" builtinId="8"/>
    <cellStyle name="Hyperlink 2" xfId="209"/>
    <cellStyle name="Hyperlink 2 2" xfId="210"/>
    <cellStyle name="Hyperlink 2_TRMbd_BP2014_Extractor_1" xfId="211"/>
    <cellStyle name="Hyperlink 3" xfId="212"/>
    <cellStyle name="Input" xfId="213" builtinId="20" customBuiltin="1"/>
    <cellStyle name="Input 2" xfId="214"/>
    <cellStyle name="Input 3" xfId="215"/>
    <cellStyle name="Input 4" xfId="216"/>
    <cellStyle name="Linked Cell" xfId="217" builtinId="24" customBuiltin="1"/>
    <cellStyle name="Linked Cell 2" xfId="218"/>
    <cellStyle name="Linked Cell 3" xfId="219"/>
    <cellStyle name="Linked Cell 4" xfId="220"/>
    <cellStyle name="Multiple" xfId="221"/>
    <cellStyle name="Neutral" xfId="222" builtinId="28" customBuiltin="1"/>
    <cellStyle name="Neutral 2" xfId="223"/>
    <cellStyle name="Neutral 3" xfId="224"/>
    <cellStyle name="Neutral 4" xfId="225"/>
    <cellStyle name="Normal" xfId="0" builtinId="0"/>
    <cellStyle name="Normal 2" xfId="226"/>
    <cellStyle name="Normal 3" xfId="227"/>
    <cellStyle name="Normal 4" xfId="228"/>
    <cellStyle name="Normal 5" xfId="229"/>
    <cellStyle name="Normal 6" xfId="230"/>
    <cellStyle name="Normal 7" xfId="231"/>
    <cellStyle name="Normal 8" xfId="232"/>
    <cellStyle name="Normal 9" xfId="233"/>
    <cellStyle name="Note" xfId="234" builtinId="10" customBuiltin="1"/>
    <cellStyle name="Note 2" xfId="235"/>
    <cellStyle name="Note 3" xfId="236"/>
    <cellStyle name="Note 4" xfId="237"/>
    <cellStyle name="Note 5" xfId="238"/>
    <cellStyle name="Note 6" xfId="239"/>
    <cellStyle name="Output" xfId="240" builtinId="21" customBuiltin="1"/>
    <cellStyle name="Output 2" xfId="241"/>
    <cellStyle name="Output 3" xfId="242"/>
    <cellStyle name="Output 4" xfId="243"/>
    <cellStyle name="Page Number" xfId="244"/>
    <cellStyle name="Percent 10" xfId="245"/>
    <cellStyle name="Percent 2" xfId="246"/>
    <cellStyle name="Percent 3" xfId="247"/>
    <cellStyle name="Percent 4" xfId="248"/>
    <cellStyle name="Percent 4 2" xfId="249"/>
    <cellStyle name="Percent 4 3" xfId="250"/>
    <cellStyle name="Percent 5" xfId="251"/>
    <cellStyle name="Percent 5 2" xfId="252"/>
    <cellStyle name="Percent 6" xfId="253"/>
    <cellStyle name="Percent 6 2" xfId="254"/>
    <cellStyle name="Percent 7" xfId="255"/>
    <cellStyle name="Percent 7 2" xfId="256"/>
    <cellStyle name="Percent 8" xfId="257"/>
    <cellStyle name="Percent 9" xfId="258"/>
    <cellStyle name="PSChar" xfId="259"/>
    <cellStyle name="PSChar 2" xfId="260"/>
    <cellStyle name="PSChar 3" xfId="261"/>
    <cellStyle name="PSChar 4" xfId="262"/>
    <cellStyle name="PSChar 4 2" xfId="263"/>
    <cellStyle name="PSChar 5" xfId="264"/>
    <cellStyle name="PSChar 5 2" xfId="265"/>
    <cellStyle name="PSDate" xfId="266"/>
    <cellStyle name="PSDate 2" xfId="267"/>
    <cellStyle name="PSDate 3" xfId="268"/>
    <cellStyle name="PSDate 4" xfId="269"/>
    <cellStyle name="PSDate 4 2" xfId="270"/>
    <cellStyle name="PSDate 5" xfId="271"/>
    <cellStyle name="PSDate 5 2" xfId="272"/>
    <cellStyle name="PSDec" xfId="273"/>
    <cellStyle name="PSDec 2" xfId="274"/>
    <cellStyle name="PSDec 3" xfId="275"/>
    <cellStyle name="PSDec 4" xfId="276"/>
    <cellStyle name="PSDec 4 2" xfId="277"/>
    <cellStyle name="PSDec 5" xfId="278"/>
    <cellStyle name="PSDec 5 2" xfId="279"/>
    <cellStyle name="PSHeading" xfId="280"/>
    <cellStyle name="PSHeading 2" xfId="281"/>
    <cellStyle name="PSHeading 3" xfId="282"/>
    <cellStyle name="PSHeading 4" xfId="283"/>
    <cellStyle name="PSHeading 4 2" xfId="284"/>
    <cellStyle name="PSHeading 4_July2012_Access_to_Capital_Scenarios_Cost Tables 7132012" xfId="285"/>
    <cellStyle name="PSHeading 5" xfId="286"/>
    <cellStyle name="PSHeading 5 2" xfId="287"/>
    <cellStyle name="PSHeading_358_CGS_Lewis_UT_70Conserv" xfId="288"/>
    <cellStyle name="PSInt" xfId="289"/>
    <cellStyle name="PSInt 2" xfId="290"/>
    <cellStyle name="PSInt 3" xfId="291"/>
    <cellStyle name="PSInt 4" xfId="292"/>
    <cellStyle name="PSInt 4 2" xfId="293"/>
    <cellStyle name="PSInt 5" xfId="294"/>
    <cellStyle name="PSInt 5 2" xfId="295"/>
    <cellStyle name="PSSpacer" xfId="296"/>
    <cellStyle name="PSSpacer 2" xfId="297"/>
    <cellStyle name="PSSpacer 3" xfId="298"/>
    <cellStyle name="PSSpacer 4" xfId="299"/>
    <cellStyle name="PSSpacer 4 2" xfId="300"/>
    <cellStyle name="PSSpacer 5" xfId="301"/>
    <cellStyle name="PSSpacer 5 2" xfId="302"/>
    <cellStyle name="Rate" xfId="303"/>
    <cellStyle name="Rate 2" xfId="304"/>
    <cellStyle name="Rate 3" xfId="305"/>
    <cellStyle name="Rate 4" xfId="306"/>
    <cellStyle name="Rate 4 2" xfId="307"/>
    <cellStyle name="Rate 5" xfId="308"/>
    <cellStyle name="Rate 5 2" xfId="309"/>
    <cellStyle name="Rate 6" xfId="310"/>
    <cellStyle name="Reference" xfId="311"/>
    <cellStyle name="SectionBreak" xfId="312"/>
    <cellStyle name="SectionBreak 2" xfId="313"/>
    <cellStyle name="SectionBreak 3" xfId="314"/>
    <cellStyle name="SectionBreak 4" xfId="315"/>
    <cellStyle name="SectionBreak 4 2" xfId="316"/>
    <cellStyle name="SectionBreak 5" xfId="317"/>
    <cellStyle name="SectionBreak 5 2" xfId="318"/>
    <cellStyle name="Table Head" xfId="319"/>
    <cellStyle name="Table Head Aligned" xfId="320"/>
    <cellStyle name="Table Head Blue" xfId="321"/>
    <cellStyle name="Table Head Green" xfId="322"/>
    <cellStyle name="Table Heading" xfId="323"/>
    <cellStyle name="Table Heading 2" xfId="324"/>
    <cellStyle name="Table Title" xfId="325"/>
    <cellStyle name="Table Units" xfId="326"/>
    <cellStyle name="Table Units 2" xfId="327"/>
    <cellStyle name="Table Units 2 2" xfId="328"/>
    <cellStyle name="Table Units 3" xfId="329"/>
    <cellStyle name="Title" xfId="330" builtinId="15" customBuiltin="1"/>
    <cellStyle name="Title 2" xfId="331"/>
    <cellStyle name="Total" xfId="332" builtinId="25" customBuiltin="1"/>
    <cellStyle name="Total 2" xfId="333"/>
    <cellStyle name="Total 3" xfId="334"/>
    <cellStyle name="Total 4" xfId="335"/>
    <cellStyle name="Warning Text" xfId="336" builtinId="11" customBuiltin="1"/>
    <cellStyle name="Warning Text 2" xfId="337"/>
    <cellStyle name="Warning Text 2 2" xfId="338"/>
    <cellStyle name="Warning Text 3" xfId="339"/>
    <cellStyle name="Warning Text 4" xfId="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gacy.bpa.gov/Documents%20and%20Settings/adk2372/Local%20Settings/Temporary%20Internet%20Files/OLK205/$newTRM_200912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egacy.bpa.gov/Documents%20and%20Settings/adk2372/Local%20Settings/Temporary%20Internet%20Files/OLK205/RAMdata_WP2012ipP_2012_working_201006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I_T2Elec"/>
      <sheetName val="I_CHWM"/>
      <sheetName val="I_Mrkt"/>
      <sheetName val="I_Exch"/>
      <sheetName val="I_PNGC"/>
      <sheetName val="I_Slice"/>
      <sheetName val="I_TRL"/>
      <sheetName val="I_CSP"/>
      <sheetName val="I_Load"/>
      <sheetName val="I_Res"/>
      <sheetName val="LU_L"/>
      <sheetName val="LU_R"/>
      <sheetName val="Class_L"/>
      <sheetName val="Class_R"/>
      <sheetName val="Map_L"/>
      <sheetName val="Map_R"/>
      <sheetName val="Res"/>
      <sheetName val="Load"/>
      <sheetName val="TRL"/>
      <sheetName val="CSP"/>
      <sheetName val="ER"/>
      <sheetName val="NR"/>
      <sheetName val="RSP"/>
      <sheetName val="CDQ"/>
      <sheetName val="SuperPeak"/>
      <sheetName val="TOCA"/>
      <sheetName val="SliceTake"/>
      <sheetName val="AboveHWM"/>
      <sheetName val="Existing"/>
      <sheetName val="SelfSupply"/>
      <sheetName val="Tier2_STR"/>
      <sheetName val="Tier2_LGR"/>
      <sheetName val="SystemShape"/>
      <sheetName val="Tier1"/>
      <sheetName val="LoadShp"/>
      <sheetName val="Demand"/>
    </sheetNames>
    <sheetDataSet>
      <sheetData sheetId="0" refreshError="1">
        <row r="6">
          <cell r="B6">
            <v>2010</v>
          </cell>
        </row>
        <row r="17">
          <cell r="B17">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_Augmentation"/>
      <sheetName val="I_Secondary"/>
      <sheetName val="I_Credits"/>
      <sheetName val="I_BulkHub"/>
      <sheetName val="I_GenInputs"/>
      <sheetName val="I_ProForma"/>
      <sheetName val="I_ValueofReserves"/>
      <sheetName val="I_Borrowing"/>
      <sheetName val="I_LDD_Percent"/>
      <sheetName val="I_IRD_loads"/>
      <sheetName val="I_IRD_rate"/>
      <sheetName val="TaxExempt"/>
      <sheetName val="BESlookup"/>
      <sheetName val="Init"/>
      <sheetName val="LU_L"/>
      <sheetName val="LU_R"/>
      <sheetName val="LU_C"/>
      <sheetName val="Class_L"/>
      <sheetName val="Class_R"/>
      <sheetName val="Class_C"/>
      <sheetName val="Class_NLSL"/>
      <sheetName val="Map_L"/>
      <sheetName val="Map_R"/>
      <sheetName val="Map_C"/>
      <sheetName val="I_TRL"/>
      <sheetName val="I_CSP"/>
      <sheetName val="I_Load"/>
      <sheetName val="I_ER_Total"/>
      <sheetName val="I_ER_yr1"/>
      <sheetName val="I_ER_yr2"/>
      <sheetName val="I_ER_yr3"/>
      <sheetName val="I_ER_yr4"/>
      <sheetName val="I_ER_yr5"/>
      <sheetName val="I_ER_yr6"/>
      <sheetName val="I_Res"/>
      <sheetName val="I_T1SFCO"/>
      <sheetName val="I_Cost"/>
      <sheetName val="I_RSS_Rates"/>
      <sheetName val="I_RSS_Res"/>
      <sheetName val="CHWM_PSS"/>
      <sheetName val="I_T2Elec"/>
      <sheetName val="I_CHWM"/>
      <sheetName val="I_Mrkt"/>
      <sheetName val="I_Exch"/>
      <sheetName val="I_Slice"/>
      <sheetName val="I_LDDSlice"/>
      <sheetName val="RiskMod"/>
      <sheetName val="I_Margin_VOR"/>
      <sheetName val="Load"/>
      <sheetName val="Res"/>
      <sheetName val="T1SFCO"/>
      <sheetName val="Cost"/>
      <sheetName val="TRL"/>
      <sheetName val="NLSL"/>
      <sheetName val="CSP"/>
      <sheetName val="ER"/>
      <sheetName val="ER_ExhibitA"/>
      <sheetName val="CDQ"/>
      <sheetName val="SuperPeak"/>
      <sheetName val="RSS"/>
      <sheetName val="Validation"/>
      <sheetName val="Updat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C12">
            <v>40817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egacy.bpa.gov/applications/publiccomments/CommentList.aspx?ID=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tabSelected="1" zoomScaleNormal="100" workbookViewId="0">
      <pane xSplit="5" ySplit="9" topLeftCell="F10" activePane="bottomRight" state="frozen"/>
      <selection pane="topRight" activeCell="F1" sqref="F1"/>
      <selection pane="bottomLeft" activeCell="A12" sqref="A12"/>
      <selection pane="bottomRight"/>
    </sheetView>
  </sheetViews>
  <sheetFormatPr defaultRowHeight="12.75"/>
  <cols>
    <col min="1" max="1" width="4.42578125" style="12" customWidth="1"/>
    <col min="2" max="2" width="8.85546875" style="14" customWidth="1"/>
    <col min="3" max="3" width="23.140625" style="14" customWidth="1"/>
    <col min="4" max="6" width="8.85546875" style="14" customWidth="1"/>
    <col min="7" max="8" width="13.85546875" style="14" customWidth="1"/>
    <col min="9" max="9" width="10.28515625" style="12" customWidth="1"/>
    <col min="10" max="15" width="12.140625" style="12" customWidth="1"/>
    <col min="16" max="27" width="12.140625" style="14" customWidth="1"/>
    <col min="28" max="30" width="12.140625" style="19" customWidth="1"/>
    <col min="31" max="31" width="12.140625" style="192" customWidth="1"/>
    <col min="32" max="16384" width="9.140625" style="14"/>
  </cols>
  <sheetData>
    <row r="1" spans="1:34" ht="20.25">
      <c r="A1" s="26" t="s">
        <v>498</v>
      </c>
    </row>
    <row r="2" spans="1:34" s="27" customFormat="1" ht="15">
      <c r="A2" s="314">
        <v>41736</v>
      </c>
      <c r="B2" s="314"/>
      <c r="C2" s="314"/>
      <c r="I2" s="28"/>
      <c r="J2" s="28"/>
      <c r="K2" s="28"/>
      <c r="L2" s="28"/>
      <c r="M2" s="28"/>
      <c r="N2" s="28"/>
      <c r="O2" s="28"/>
      <c r="AB2" s="29"/>
      <c r="AC2" s="29"/>
      <c r="AD2" s="29"/>
      <c r="AE2" s="193"/>
    </row>
    <row r="3" spans="1:34">
      <c r="A3" s="11"/>
    </row>
    <row r="4" spans="1:34">
      <c r="A4" s="11"/>
    </row>
    <row r="5" spans="1:34">
      <c r="A5" s="30"/>
    </row>
    <row r="6" spans="1:34" s="12" customFormat="1" ht="13.5" thickBot="1">
      <c r="B6" s="67" t="s">
        <v>59</v>
      </c>
      <c r="C6" s="67" t="s">
        <v>60</v>
      </c>
      <c r="D6" s="67" t="s">
        <v>61</v>
      </c>
      <c r="E6" s="67" t="s">
        <v>62</v>
      </c>
      <c r="F6" s="67" t="s">
        <v>63</v>
      </c>
      <c r="G6" s="67" t="s">
        <v>64</v>
      </c>
      <c r="H6" s="67" t="s">
        <v>65</v>
      </c>
      <c r="I6" s="67" t="s">
        <v>66</v>
      </c>
      <c r="J6" s="74" t="s">
        <v>67</v>
      </c>
      <c r="K6" s="74" t="s">
        <v>68</v>
      </c>
      <c r="L6" s="74" t="s">
        <v>69</v>
      </c>
      <c r="M6" s="74" t="s">
        <v>70</v>
      </c>
      <c r="N6" s="74" t="s">
        <v>71</v>
      </c>
      <c r="O6" s="74" t="s">
        <v>72</v>
      </c>
      <c r="P6" s="74" t="s">
        <v>73</v>
      </c>
      <c r="Q6" s="74" t="s">
        <v>74</v>
      </c>
      <c r="R6" s="74" t="s">
        <v>75</v>
      </c>
      <c r="S6" s="74" t="s">
        <v>76</v>
      </c>
      <c r="T6" s="74" t="s">
        <v>77</v>
      </c>
      <c r="U6" s="74" t="s">
        <v>78</v>
      </c>
      <c r="V6" s="67" t="s">
        <v>79</v>
      </c>
      <c r="W6" s="67" t="s">
        <v>80</v>
      </c>
      <c r="X6" s="67" t="s">
        <v>81</v>
      </c>
      <c r="Y6" s="67" t="s">
        <v>82</v>
      </c>
      <c r="Z6" s="67" t="s">
        <v>83</v>
      </c>
      <c r="AA6" s="67" t="s">
        <v>84</v>
      </c>
      <c r="AB6" s="67" t="s">
        <v>85</v>
      </c>
      <c r="AC6" s="67" t="s">
        <v>86</v>
      </c>
      <c r="AD6" s="191">
        <v>-29</v>
      </c>
      <c r="AE6" s="191">
        <v>-30</v>
      </c>
    </row>
    <row r="7" spans="1:34" ht="30.75" customHeight="1">
      <c r="A7" s="68" t="s">
        <v>59</v>
      </c>
      <c r="B7" s="12"/>
      <c r="C7" s="12"/>
      <c r="D7" s="12"/>
      <c r="E7" s="12"/>
      <c r="F7" s="317" t="s">
        <v>113</v>
      </c>
      <c r="G7" s="318"/>
      <c r="H7" s="318"/>
      <c r="I7" s="319"/>
      <c r="J7" s="315" t="s">
        <v>119</v>
      </c>
      <c r="K7" s="320"/>
      <c r="L7" s="320"/>
      <c r="M7" s="320"/>
      <c r="N7" s="320"/>
      <c r="O7" s="320"/>
      <c r="P7" s="320"/>
      <c r="Q7" s="320"/>
      <c r="R7" s="320"/>
      <c r="S7" s="320"/>
      <c r="T7" s="320"/>
      <c r="U7" s="316"/>
      <c r="V7" s="315" t="s">
        <v>125</v>
      </c>
      <c r="W7" s="320"/>
      <c r="X7" s="320"/>
      <c r="Y7" s="316"/>
      <c r="Z7" s="315" t="s">
        <v>129</v>
      </c>
      <c r="AA7" s="320"/>
      <c r="AB7" s="320"/>
      <c r="AC7" s="321"/>
      <c r="AD7" s="315" t="s">
        <v>448</v>
      </c>
      <c r="AE7" s="316"/>
    </row>
    <row r="8" spans="1:34" ht="102">
      <c r="A8" s="68" t="s">
        <v>60</v>
      </c>
      <c r="B8" s="16" t="s">
        <v>0</v>
      </c>
      <c r="C8" s="16" t="s">
        <v>55</v>
      </c>
      <c r="D8" s="16" t="s">
        <v>0</v>
      </c>
      <c r="E8" s="32" t="s">
        <v>1</v>
      </c>
      <c r="F8" s="202" t="s">
        <v>56</v>
      </c>
      <c r="G8" s="200" t="s">
        <v>58</v>
      </c>
      <c r="H8" s="200" t="s">
        <v>122</v>
      </c>
      <c r="I8" s="203" t="s">
        <v>114</v>
      </c>
      <c r="J8" s="202" t="s">
        <v>132</v>
      </c>
      <c r="K8" s="200" t="s">
        <v>138</v>
      </c>
      <c r="L8" s="200" t="s">
        <v>133</v>
      </c>
      <c r="M8" s="200" t="s">
        <v>134</v>
      </c>
      <c r="N8" s="200" t="s">
        <v>135</v>
      </c>
      <c r="O8" s="200" t="s">
        <v>136</v>
      </c>
      <c r="P8" s="200" t="s">
        <v>123</v>
      </c>
      <c r="Q8" s="200" t="s">
        <v>118</v>
      </c>
      <c r="R8" s="200" t="s">
        <v>110</v>
      </c>
      <c r="S8" s="200" t="s">
        <v>124</v>
      </c>
      <c r="T8" s="200" t="s">
        <v>120</v>
      </c>
      <c r="U8" s="203" t="s">
        <v>121</v>
      </c>
      <c r="V8" s="202" t="s">
        <v>128</v>
      </c>
      <c r="W8" s="200" t="s">
        <v>126</v>
      </c>
      <c r="X8" s="200" t="s">
        <v>127</v>
      </c>
      <c r="Y8" s="203" t="s">
        <v>130</v>
      </c>
      <c r="Z8" s="202" t="s">
        <v>112</v>
      </c>
      <c r="AA8" s="200" t="s">
        <v>131</v>
      </c>
      <c r="AB8" s="200" t="s">
        <v>137</v>
      </c>
      <c r="AC8" s="259" t="s">
        <v>111</v>
      </c>
      <c r="AD8" s="202" t="s">
        <v>449</v>
      </c>
      <c r="AE8" s="203" t="s">
        <v>450</v>
      </c>
    </row>
    <row r="9" spans="1:34" ht="13.5" thickBot="1">
      <c r="A9" s="69" t="s">
        <v>61</v>
      </c>
      <c r="B9" s="16"/>
      <c r="C9" s="33"/>
      <c r="D9" s="16"/>
      <c r="E9" s="32"/>
      <c r="F9" s="2" t="s">
        <v>2</v>
      </c>
      <c r="G9" s="23" t="s">
        <v>2</v>
      </c>
      <c r="H9" s="23" t="s">
        <v>2</v>
      </c>
      <c r="I9" s="1"/>
      <c r="J9" s="2" t="s">
        <v>2</v>
      </c>
      <c r="K9" s="23" t="s">
        <v>2</v>
      </c>
      <c r="L9" s="23" t="s">
        <v>2</v>
      </c>
      <c r="M9" s="23" t="s">
        <v>2</v>
      </c>
      <c r="N9" s="23" t="s">
        <v>2</v>
      </c>
      <c r="O9" s="23" t="s">
        <v>2</v>
      </c>
      <c r="P9" s="23" t="s">
        <v>2</v>
      </c>
      <c r="Q9" s="23" t="s">
        <v>2</v>
      </c>
      <c r="R9" s="23" t="s">
        <v>2</v>
      </c>
      <c r="S9" s="23" t="s">
        <v>2</v>
      </c>
      <c r="T9" s="23" t="s">
        <v>2</v>
      </c>
      <c r="U9" s="1" t="s">
        <v>2</v>
      </c>
      <c r="V9" s="2" t="s">
        <v>2</v>
      </c>
      <c r="W9" s="23" t="s">
        <v>2</v>
      </c>
      <c r="X9" s="23" t="s">
        <v>2</v>
      </c>
      <c r="Y9" s="1" t="s">
        <v>2</v>
      </c>
      <c r="Z9" s="2" t="s">
        <v>2</v>
      </c>
      <c r="AA9" s="23" t="s">
        <v>2</v>
      </c>
      <c r="AB9" s="23" t="s">
        <v>2</v>
      </c>
      <c r="AC9" s="24" t="s">
        <v>2</v>
      </c>
      <c r="AD9" s="2" t="s">
        <v>2</v>
      </c>
      <c r="AE9" s="262"/>
    </row>
    <row r="10" spans="1:34">
      <c r="A10" s="70" t="s">
        <v>62</v>
      </c>
      <c r="B10" s="34">
        <v>10057</v>
      </c>
      <c r="C10" s="35" t="s">
        <v>3</v>
      </c>
      <c r="D10" s="34">
        <v>10057</v>
      </c>
      <c r="E10" s="36">
        <v>103</v>
      </c>
      <c r="F10" s="37">
        <f>VLOOKUP('Retained Provisional CHWM Calcs'!$B10,CHWM_published!$B$12:$AR$147,43,FALSE)</f>
        <v>21.382999999999999</v>
      </c>
      <c r="G10" s="38">
        <f>VLOOKUP('Retained Provisional CHWM Calcs'!$B10,CHWM_published!$B$12:$AR$147,40,FALSE)</f>
        <v>0.76900000000000002</v>
      </c>
      <c r="H10" s="38">
        <f>VLOOKUP('Retained Provisional CHWM Calcs'!$B10,CHWM_published!$B$12:$AR$147,33,FALSE)</f>
        <v>0.73300000000000054</v>
      </c>
      <c r="I10" s="41" t="s">
        <v>106</v>
      </c>
      <c r="J10" s="39">
        <v>20.776</v>
      </c>
      <c r="K10" s="40">
        <v>0</v>
      </c>
      <c r="L10" s="40">
        <v>-0.246</v>
      </c>
      <c r="M10" s="40">
        <v>0</v>
      </c>
      <c r="N10" s="40">
        <v>0</v>
      </c>
      <c r="O10" s="40">
        <f>SUM(J10:N10)</f>
        <v>20.53</v>
      </c>
      <c r="P10" s="40">
        <f>VLOOKUP(B10,CHWM_published!B12:AL147,37,FALSE)</f>
        <v>0.39700000000000002</v>
      </c>
      <c r="Q10" s="40">
        <v>0.28699999999999998</v>
      </c>
      <c r="R10" s="40">
        <f>SUM(O10:Q10)</f>
        <v>21.213999999999999</v>
      </c>
      <c r="S10" s="40">
        <f>VLOOKUP('Retained Provisional CHWM Calcs'!$B10,CHWM_published!$B$12:$AR$147,28,FALSE)</f>
        <v>20.059000000000001</v>
      </c>
      <c r="T10" s="40">
        <f>R10-S10</f>
        <v>1.1549999999999976</v>
      </c>
      <c r="U10" s="41">
        <f>IF(T10&gt;=H10,H10,MAX(0,T10))</f>
        <v>0.73300000000000054</v>
      </c>
      <c r="V10" s="39"/>
      <c r="W10" s="40"/>
      <c r="X10" s="40"/>
      <c r="Y10" s="41"/>
      <c r="Z10" s="39">
        <f>IF(I10="Path 2",U10,Y10)</f>
        <v>0.73300000000000054</v>
      </c>
      <c r="AA10" s="40">
        <f>VLOOKUP('Retained Provisional CHWM Calcs'!$B10,CHWM_published!$B$12:$AR$147,35,FALSE)</f>
        <v>20.395000000000003</v>
      </c>
      <c r="AB10" s="38">
        <f>MIN(ROUND(Z10*(F10/AA10),3),G10)</f>
        <v>0.76900000000000002</v>
      </c>
      <c r="AC10" s="194">
        <f>F10-(G10-AB10)</f>
        <v>21.382999999999999</v>
      </c>
      <c r="AD10" s="37">
        <f>ROUND(($AC10/$AD$56)*$AD$57,3)</f>
        <v>21.157</v>
      </c>
      <c r="AE10" s="261" t="str">
        <f>IF(AC10=F10,"No","Yes")</f>
        <v>No</v>
      </c>
      <c r="AH10" s="310"/>
    </row>
    <row r="11" spans="1:34">
      <c r="A11" s="69" t="s">
        <v>63</v>
      </c>
      <c r="B11" s="10">
        <v>10015</v>
      </c>
      <c r="C11" s="42" t="s">
        <v>4</v>
      </c>
      <c r="D11" s="10">
        <v>10015</v>
      </c>
      <c r="E11" s="43">
        <v>201</v>
      </c>
      <c r="F11" s="8">
        <f>VLOOKUP('Retained Provisional CHWM Calcs'!B11,CHWM_published!B13:AR148,43,FALSE)</f>
        <v>0.61</v>
      </c>
      <c r="G11" s="9">
        <f>VLOOKUP('Retained Provisional CHWM Calcs'!$B11,CHWM_published!$B$12:$AR$147,40,FALSE)</f>
        <v>2.8000000000000001E-2</v>
      </c>
      <c r="H11" s="9">
        <f>VLOOKUP('Retained Provisional CHWM Calcs'!$B11,CHWM_published!$B$12:$AR$147,33,FALSE)</f>
        <v>2.7000000000000024E-2</v>
      </c>
      <c r="I11" s="22" t="s">
        <v>106</v>
      </c>
      <c r="J11" s="25">
        <v>0.59</v>
      </c>
      <c r="K11" s="17">
        <v>0</v>
      </c>
      <c r="L11" s="17">
        <v>-3.5000000000000003E-2</v>
      </c>
      <c r="M11" s="17">
        <v>0</v>
      </c>
      <c r="N11" s="17">
        <v>0</v>
      </c>
      <c r="O11" s="17">
        <f t="shared" ref="O11:O48" si="0">SUM(J11:N11)</f>
        <v>0.55499999999999994</v>
      </c>
      <c r="P11" s="17">
        <f>VLOOKUP(B11,CHWM_published!B13:AL148,37,FALSE)</f>
        <v>0.01</v>
      </c>
      <c r="Q11" s="17">
        <v>0</v>
      </c>
      <c r="R11" s="17">
        <f t="shared" ref="R11:R48" si="1">SUM(O11:Q11)</f>
        <v>0.56499999999999995</v>
      </c>
      <c r="S11" s="17">
        <f>VLOOKUP('Retained Provisional CHWM Calcs'!$B11,CHWM_published!$B$12:$AR$147,28,FALSE)</f>
        <v>0.56599999999999995</v>
      </c>
      <c r="T11" s="17">
        <f t="shared" ref="T11:T48" si="2">R11-S11</f>
        <v>-1.0000000000000009E-3</v>
      </c>
      <c r="U11" s="22">
        <f t="shared" ref="U11:U47" si="3">IF(T11&gt;=H11,H11,MAX(0,T11))</f>
        <v>0</v>
      </c>
      <c r="V11" s="25"/>
      <c r="W11" s="17"/>
      <c r="X11" s="17"/>
      <c r="Y11" s="22"/>
      <c r="Z11" s="25">
        <f t="shared" ref="Z11:Z50" si="4">IF(I11="Path 2",U11,Y11)</f>
        <v>0</v>
      </c>
      <c r="AA11" s="17">
        <f>VLOOKUP('Retained Provisional CHWM Calcs'!$B11,CHWM_published!$B$12:$AR$147,35,FALSE)</f>
        <v>0.58300000000000007</v>
      </c>
      <c r="AB11" s="9">
        <f t="shared" ref="AB11:AB50" si="5">MIN(ROUND(Z11*(F11/AA11),3),G11)</f>
        <v>0</v>
      </c>
      <c r="AC11" s="195">
        <f t="shared" ref="AC11:AC49" si="6">F11-(G11-AB11)</f>
        <v>0.58199999999999996</v>
      </c>
      <c r="AD11" s="8">
        <f t="shared" ref="AD11:AD50" si="7">ROUND(($AC11/$AD$56)*$AD$57,3)</f>
        <v>0.57599999999999996</v>
      </c>
      <c r="AE11" s="201" t="str">
        <f t="shared" ref="AE11:AE50" si="8">IF(AC11=F11,"No","Yes")</f>
        <v>Yes</v>
      </c>
      <c r="AH11" s="310"/>
    </row>
    <row r="12" spans="1:34" s="19" customFormat="1">
      <c r="A12" s="70" t="s">
        <v>64</v>
      </c>
      <c r="B12" s="34">
        <v>10029</v>
      </c>
      <c r="C12" s="35" t="s">
        <v>6</v>
      </c>
      <c r="D12" s="34">
        <v>10029</v>
      </c>
      <c r="E12" s="36">
        <v>309</v>
      </c>
      <c r="F12" s="44">
        <f>VLOOKUP('Retained Provisional CHWM Calcs'!B12,CHWM_published!B14:AR149,43,FALSE)</f>
        <v>17.879000000000001</v>
      </c>
      <c r="G12" s="45">
        <f>VLOOKUP('Retained Provisional CHWM Calcs'!$B12,CHWM_published!$B$12:$AR$147,40,FALSE)</f>
        <v>1.2629999999999999</v>
      </c>
      <c r="H12" s="45">
        <f>VLOOKUP('Retained Provisional CHWM Calcs'!$B12,CHWM_published!$B$12:$AR$147,33,FALSE)</f>
        <v>1.2240000000000002</v>
      </c>
      <c r="I12" s="48" t="s">
        <v>106</v>
      </c>
      <c r="J12" s="46">
        <v>19.273</v>
      </c>
      <c r="K12" s="47">
        <v>0</v>
      </c>
      <c r="L12" s="47">
        <v>9.4E-2</v>
      </c>
      <c r="M12" s="47">
        <v>0</v>
      </c>
      <c r="N12" s="47">
        <v>0</v>
      </c>
      <c r="O12" s="47">
        <f t="shared" si="0"/>
        <v>19.367000000000001</v>
      </c>
      <c r="P12" s="47">
        <f>VLOOKUP(B12,CHWM_published!B14:AL149,37,FALSE)</f>
        <v>3.9E-2</v>
      </c>
      <c r="Q12" s="47">
        <v>0.251</v>
      </c>
      <c r="R12" s="47">
        <f t="shared" si="1"/>
        <v>19.657000000000004</v>
      </c>
      <c r="S12" s="47">
        <f>VLOOKUP('Retained Provisional CHWM Calcs'!$B12,CHWM_published!$B$12:$AR$147,28,FALSE)</f>
        <v>16.146000000000001</v>
      </c>
      <c r="T12" s="47">
        <f t="shared" si="2"/>
        <v>3.5110000000000028</v>
      </c>
      <c r="U12" s="48">
        <f t="shared" si="3"/>
        <v>1.2240000000000002</v>
      </c>
      <c r="V12" s="46"/>
      <c r="W12" s="47"/>
      <c r="X12" s="47"/>
      <c r="Y12" s="48"/>
      <c r="Z12" s="46">
        <f t="shared" si="4"/>
        <v>1.2240000000000002</v>
      </c>
      <c r="AA12" s="47">
        <f>VLOOKUP('Retained Provisional CHWM Calcs'!$B12,CHWM_published!$B$12:$AR$147,35,FALSE)</f>
        <v>17.331</v>
      </c>
      <c r="AB12" s="45">
        <f t="shared" si="5"/>
        <v>1.2629999999999999</v>
      </c>
      <c r="AC12" s="196">
        <f t="shared" si="6"/>
        <v>17.879000000000001</v>
      </c>
      <c r="AD12" s="44">
        <f t="shared" si="7"/>
        <v>17.690000000000001</v>
      </c>
      <c r="AE12" s="260" t="str">
        <f t="shared" si="8"/>
        <v>No</v>
      </c>
      <c r="AH12" s="310"/>
    </row>
    <row r="13" spans="1:34" s="19" customFormat="1">
      <c r="A13" s="69" t="s">
        <v>65</v>
      </c>
      <c r="B13" s="10">
        <v>10065</v>
      </c>
      <c r="C13" s="42" t="s">
        <v>7</v>
      </c>
      <c r="D13" s="10">
        <v>10065</v>
      </c>
      <c r="E13" s="43">
        <v>115</v>
      </c>
      <c r="F13" s="8">
        <f>VLOOKUP('Retained Provisional CHWM Calcs'!B13,CHWM_published!B15:AR150,43,FALSE)</f>
        <v>2.6379999999999999</v>
      </c>
      <c r="G13" s="9">
        <f>VLOOKUP('Retained Provisional CHWM Calcs'!$B13,CHWM_published!$B$12:$AR$147,40,FALSE)</f>
        <v>0.22500000000000001</v>
      </c>
      <c r="H13" s="9">
        <f>VLOOKUP('Retained Provisional CHWM Calcs'!$B13,CHWM_published!$B$12:$AR$147,33,FALSE)</f>
        <v>0.21399999999999997</v>
      </c>
      <c r="I13" s="22" t="s">
        <v>106</v>
      </c>
      <c r="J13" s="25">
        <v>2.1859999999999999</v>
      </c>
      <c r="K13" s="17">
        <v>0</v>
      </c>
      <c r="L13" s="17">
        <v>1.2999999999999999E-2</v>
      </c>
      <c r="M13" s="17">
        <v>0</v>
      </c>
      <c r="N13" s="17">
        <v>0</v>
      </c>
      <c r="O13" s="17">
        <f t="shared" si="0"/>
        <v>2.1989999999999998</v>
      </c>
      <c r="P13" s="17">
        <f>VLOOKUP(B13,CHWM_published!B15:AL150,37,FALSE)</f>
        <v>5.0999999999999997E-2</v>
      </c>
      <c r="Q13" s="17">
        <v>5.6000000000000001E-2</v>
      </c>
      <c r="R13" s="17">
        <f t="shared" si="1"/>
        <v>2.306</v>
      </c>
      <c r="S13" s="17">
        <f>VLOOKUP('Retained Provisional CHWM Calcs'!$B13,CHWM_published!$B$12:$AR$147,28,FALSE)</f>
        <v>2.351</v>
      </c>
      <c r="T13" s="17">
        <f t="shared" si="2"/>
        <v>-4.4999999999999929E-2</v>
      </c>
      <c r="U13" s="22">
        <f t="shared" si="3"/>
        <v>0</v>
      </c>
      <c r="V13" s="25"/>
      <c r="W13" s="17"/>
      <c r="X13" s="17"/>
      <c r="Y13" s="22"/>
      <c r="Z13" s="25">
        <f t="shared" si="4"/>
        <v>0</v>
      </c>
      <c r="AA13" s="17">
        <f>VLOOKUP('Retained Provisional CHWM Calcs'!$B13,CHWM_published!$B$12:$AR$147,35,FALSE)</f>
        <v>2.5140000000000002</v>
      </c>
      <c r="AB13" s="9">
        <f t="shared" si="5"/>
        <v>0</v>
      </c>
      <c r="AC13" s="195">
        <f t="shared" si="6"/>
        <v>2.4129999999999998</v>
      </c>
      <c r="AD13" s="8">
        <f t="shared" si="7"/>
        <v>2.387</v>
      </c>
      <c r="AE13" s="201" t="str">
        <f t="shared" si="8"/>
        <v>Yes</v>
      </c>
      <c r="AH13" s="310"/>
    </row>
    <row r="14" spans="1:34" s="19" customFormat="1">
      <c r="A14" s="70" t="s">
        <v>66</v>
      </c>
      <c r="B14" s="34">
        <v>10068</v>
      </c>
      <c r="C14" s="35" t="s">
        <v>8</v>
      </c>
      <c r="D14" s="34">
        <v>10068</v>
      </c>
      <c r="E14" s="36">
        <v>124</v>
      </c>
      <c r="F14" s="44">
        <f>VLOOKUP('Retained Provisional CHWM Calcs'!B14,CHWM_published!B16:AR151,43,FALSE)</f>
        <v>2.887</v>
      </c>
      <c r="G14" s="45">
        <f>VLOOKUP('Retained Provisional CHWM Calcs'!$B14,CHWM_published!$B$12:$AR$147,40,FALSE)</f>
        <v>7.5999999999999998E-2</v>
      </c>
      <c r="H14" s="45">
        <f>VLOOKUP('Retained Provisional CHWM Calcs'!$B14,CHWM_published!$B$12:$AR$147,33,FALSE)</f>
        <v>7.2000000000000064E-2</v>
      </c>
      <c r="I14" s="48" t="s">
        <v>106</v>
      </c>
      <c r="J14" s="46">
        <v>2.56</v>
      </c>
      <c r="K14" s="47">
        <v>0</v>
      </c>
      <c r="L14" s="47">
        <v>-3.0000000000000001E-3</v>
      </c>
      <c r="M14" s="47">
        <v>0</v>
      </c>
      <c r="N14" s="47">
        <v>0</v>
      </c>
      <c r="O14" s="47">
        <f t="shared" si="0"/>
        <v>2.5569999999999999</v>
      </c>
      <c r="P14" s="47">
        <f>VLOOKUP(B14,CHWM_published!B16:AL151,37,FALSE)</f>
        <v>5.3999999999999999E-2</v>
      </c>
      <c r="Q14" s="47">
        <v>9.4E-2</v>
      </c>
      <c r="R14" s="47">
        <f t="shared" si="1"/>
        <v>2.7049999999999996</v>
      </c>
      <c r="S14" s="47">
        <f>VLOOKUP('Retained Provisional CHWM Calcs'!$B14,CHWM_published!$B$12:$AR$147,28,FALSE)</f>
        <v>2.7349999999999999</v>
      </c>
      <c r="T14" s="47">
        <f t="shared" si="2"/>
        <v>-3.0000000000000249E-2</v>
      </c>
      <c r="U14" s="48">
        <f t="shared" si="3"/>
        <v>0</v>
      </c>
      <c r="V14" s="46"/>
      <c r="W14" s="47"/>
      <c r="X14" s="47"/>
      <c r="Y14" s="48"/>
      <c r="Z14" s="46">
        <f t="shared" si="4"/>
        <v>0</v>
      </c>
      <c r="AA14" s="47">
        <f>VLOOKUP('Retained Provisional CHWM Calcs'!$B14,CHWM_published!$B$12:$AR$147,35,FALSE)</f>
        <v>2.7530000000000001</v>
      </c>
      <c r="AB14" s="45">
        <f t="shared" si="5"/>
        <v>0</v>
      </c>
      <c r="AC14" s="196">
        <f t="shared" si="6"/>
        <v>2.8109999999999999</v>
      </c>
      <c r="AD14" s="44">
        <f t="shared" si="7"/>
        <v>2.7810000000000001</v>
      </c>
      <c r="AE14" s="260" t="str">
        <f t="shared" si="8"/>
        <v>Yes</v>
      </c>
      <c r="AH14" s="310"/>
    </row>
    <row r="15" spans="1:34" s="19" customFormat="1">
      <c r="A15" s="69" t="s">
        <v>67</v>
      </c>
      <c r="B15" s="10">
        <v>10103</v>
      </c>
      <c r="C15" s="42" t="s">
        <v>9</v>
      </c>
      <c r="D15" s="10">
        <v>10103</v>
      </c>
      <c r="E15" s="43">
        <v>216</v>
      </c>
      <c r="F15" s="8">
        <f>VLOOKUP('Retained Provisional CHWM Calcs'!B15,CHWM_published!B17:AR152,43,FALSE)</f>
        <v>323.245</v>
      </c>
      <c r="G15" s="9">
        <f>VLOOKUP('Retained Provisional CHWM Calcs'!$B15,CHWM_published!$B$12:$AR$147,40,FALSE)</f>
        <v>9.5329999999999995</v>
      </c>
      <c r="H15" s="9">
        <f>VLOOKUP('Retained Provisional CHWM Calcs'!$B15,CHWM_published!$B$12:$AR$147,33,FALSE)</f>
        <v>9.0060000000000855</v>
      </c>
      <c r="I15" s="22" t="s">
        <v>106</v>
      </c>
      <c r="J15" s="25">
        <v>515.41099999999994</v>
      </c>
      <c r="K15" s="17">
        <v>0</v>
      </c>
      <c r="L15" s="17">
        <v>1.7869999999999999</v>
      </c>
      <c r="M15" s="17">
        <v>0</v>
      </c>
      <c r="N15" s="17">
        <v>0</v>
      </c>
      <c r="O15" s="17">
        <f t="shared" si="0"/>
        <v>517.19799999999998</v>
      </c>
      <c r="P15" s="17">
        <f>VLOOKUP(B15,CHWM_published!B17:AL152,37,FALSE)</f>
        <v>9.0850000000000009</v>
      </c>
      <c r="Q15" s="17">
        <v>15.555</v>
      </c>
      <c r="R15" s="17">
        <f t="shared" si="1"/>
        <v>541.83799999999997</v>
      </c>
      <c r="S15" s="17">
        <f>VLOOKUP('Retained Provisional CHWM Calcs'!$B15,CHWM_published!$B$12:$AR$147,28,FALSE)</f>
        <v>531.56899999999996</v>
      </c>
      <c r="T15" s="17">
        <f t="shared" si="2"/>
        <v>10.269000000000005</v>
      </c>
      <c r="U15" s="22">
        <f t="shared" si="3"/>
        <v>9.0060000000000855</v>
      </c>
      <c r="V15" s="25"/>
      <c r="W15" s="17"/>
      <c r="X15" s="17"/>
      <c r="Y15" s="22"/>
      <c r="Z15" s="25">
        <f t="shared" si="4"/>
        <v>9.0060000000000855</v>
      </c>
      <c r="AA15" s="17">
        <f>VLOOKUP('Retained Provisional CHWM Calcs'!$B15,CHWM_published!$B$12:$AR$147,35,FALSE)</f>
        <v>305.37600000000015</v>
      </c>
      <c r="AB15" s="9">
        <f t="shared" si="5"/>
        <v>9.5329999999999995</v>
      </c>
      <c r="AC15" s="195">
        <f t="shared" si="6"/>
        <v>323.245</v>
      </c>
      <c r="AD15" s="8">
        <f t="shared" si="7"/>
        <v>319.822</v>
      </c>
      <c r="AE15" s="201" t="str">
        <f t="shared" si="8"/>
        <v>No</v>
      </c>
      <c r="AH15" s="310"/>
    </row>
    <row r="16" spans="1:34" s="19" customFormat="1">
      <c r="A16" s="70" t="s">
        <v>68</v>
      </c>
      <c r="B16" s="34">
        <v>10106</v>
      </c>
      <c r="C16" s="35" t="s">
        <v>11</v>
      </c>
      <c r="D16" s="34">
        <v>10106</v>
      </c>
      <c r="E16" s="36">
        <v>315</v>
      </c>
      <c r="F16" s="44">
        <f>VLOOKUP('Retained Provisional CHWM Calcs'!B16,CHWM_published!B18:AR153,43,FALSE)</f>
        <v>24.523</v>
      </c>
      <c r="G16" s="45">
        <f>VLOOKUP('Retained Provisional CHWM Calcs'!$B16,CHWM_published!$B$12:$AR$147,40,FALSE)</f>
        <v>1.6579999999999999</v>
      </c>
      <c r="H16" s="45">
        <f>VLOOKUP('Retained Provisional CHWM Calcs'!$B16,CHWM_published!$B$12:$AR$147,33,FALSE)</f>
        <v>1.5919999999999987</v>
      </c>
      <c r="I16" s="48" t="s">
        <v>106</v>
      </c>
      <c r="J16" s="46">
        <v>22.518999999999998</v>
      </c>
      <c r="K16" s="47">
        <v>0</v>
      </c>
      <c r="L16" s="47">
        <v>0.217</v>
      </c>
      <c r="M16" s="47">
        <v>0</v>
      </c>
      <c r="N16" s="47">
        <v>0</v>
      </c>
      <c r="O16" s="47">
        <f t="shared" si="0"/>
        <v>22.735999999999997</v>
      </c>
      <c r="P16" s="47">
        <f>VLOOKUP(B16,CHWM_published!B18:AL153,37,FALSE)</f>
        <v>0.29399999999999998</v>
      </c>
      <c r="Q16" s="47">
        <v>0.53</v>
      </c>
      <c r="R16" s="47">
        <f t="shared" si="1"/>
        <v>23.56</v>
      </c>
      <c r="S16" s="47">
        <f>VLOOKUP('Retained Provisional CHWM Calcs'!$B16,CHWM_published!$B$12:$AR$147,28,FALSE)</f>
        <v>22.245000000000001</v>
      </c>
      <c r="T16" s="47">
        <f t="shared" si="2"/>
        <v>1.3149999999999977</v>
      </c>
      <c r="U16" s="48">
        <f t="shared" si="3"/>
        <v>1.3149999999999977</v>
      </c>
      <c r="V16" s="46"/>
      <c r="W16" s="47"/>
      <c r="X16" s="47"/>
      <c r="Y16" s="48"/>
      <c r="Z16" s="46">
        <f t="shared" si="4"/>
        <v>1.3149999999999977</v>
      </c>
      <c r="AA16" s="47">
        <f>VLOOKUP('Retained Provisional CHWM Calcs'!$B16,CHWM_published!$B$12:$AR$147,35,FALSE)</f>
        <v>23.542999999999996</v>
      </c>
      <c r="AB16" s="45">
        <f t="shared" si="5"/>
        <v>1.37</v>
      </c>
      <c r="AC16" s="196">
        <f t="shared" si="6"/>
        <v>24.234999999999999</v>
      </c>
      <c r="AD16" s="44">
        <f t="shared" si="7"/>
        <v>23.978000000000002</v>
      </c>
      <c r="AE16" s="260" t="str">
        <f t="shared" si="8"/>
        <v>Yes</v>
      </c>
      <c r="AH16" s="310"/>
    </row>
    <row r="17" spans="1:34" s="19" customFormat="1">
      <c r="A17" s="69" t="s">
        <v>69</v>
      </c>
      <c r="B17" s="10">
        <v>10112</v>
      </c>
      <c r="C17" s="42" t="s">
        <v>12</v>
      </c>
      <c r="D17" s="10">
        <v>10112</v>
      </c>
      <c r="E17" s="43">
        <v>221</v>
      </c>
      <c r="F17" s="8">
        <f>VLOOKUP('Retained Provisional CHWM Calcs'!B17,CHWM_published!B19:AR154,43,FALSE)</f>
        <v>61.253999999999998</v>
      </c>
      <c r="G17" s="9">
        <f>VLOOKUP('Retained Provisional CHWM Calcs'!$B17,CHWM_published!$B$12:$AR$147,40,FALSE)</f>
        <v>5.5949999999999998</v>
      </c>
      <c r="H17" s="9">
        <f>VLOOKUP('Retained Provisional CHWM Calcs'!$B17,CHWM_published!$B$12:$AR$147,33,FALSE)</f>
        <v>5.375</v>
      </c>
      <c r="I17" s="22" t="s">
        <v>106</v>
      </c>
      <c r="J17" s="25">
        <v>54.652999999999999</v>
      </c>
      <c r="K17" s="17">
        <v>0</v>
      </c>
      <c r="L17" s="17">
        <v>0.11899999999999999</v>
      </c>
      <c r="M17" s="17">
        <v>0</v>
      </c>
      <c r="N17" s="17">
        <v>0</v>
      </c>
      <c r="O17" s="17">
        <f t="shared" si="0"/>
        <v>54.771999999999998</v>
      </c>
      <c r="P17" s="17">
        <f>VLOOKUP(B17,CHWM_published!B19:AL154,37,FALSE)</f>
        <v>0.69599999999999995</v>
      </c>
      <c r="Q17" s="17">
        <v>2.0190000000000001</v>
      </c>
      <c r="R17" s="17">
        <f t="shared" si="1"/>
        <v>57.486999999999995</v>
      </c>
      <c r="S17" s="17">
        <f>VLOOKUP('Retained Provisional CHWM Calcs'!$B17,CHWM_published!$B$12:$AR$147,28,FALSE)</f>
        <v>54.162999999999997</v>
      </c>
      <c r="T17" s="17">
        <f t="shared" si="2"/>
        <v>3.3239999999999981</v>
      </c>
      <c r="U17" s="22">
        <f t="shared" si="3"/>
        <v>3.3239999999999981</v>
      </c>
      <c r="V17" s="25"/>
      <c r="W17" s="17"/>
      <c r="X17" s="17"/>
      <c r="Y17" s="22"/>
      <c r="Z17" s="25">
        <f t="shared" si="4"/>
        <v>3.3239999999999981</v>
      </c>
      <c r="AA17" s="17">
        <f>VLOOKUP('Retained Provisional CHWM Calcs'!$B17,CHWM_published!$B$12:$AR$147,35,FALSE)</f>
        <v>58.842000000000006</v>
      </c>
      <c r="AB17" s="9">
        <f t="shared" si="5"/>
        <v>3.46</v>
      </c>
      <c r="AC17" s="195">
        <f t="shared" si="6"/>
        <v>59.119</v>
      </c>
      <c r="AD17" s="8">
        <f t="shared" si="7"/>
        <v>58.493000000000002</v>
      </c>
      <c r="AE17" s="201" t="str">
        <f t="shared" si="8"/>
        <v>Yes</v>
      </c>
      <c r="AH17" s="310"/>
    </row>
    <row r="18" spans="1:34" s="19" customFormat="1">
      <c r="A18" s="70" t="s">
        <v>70</v>
      </c>
      <c r="B18" s="34">
        <v>10121</v>
      </c>
      <c r="C18" s="35" t="s">
        <v>13</v>
      </c>
      <c r="D18" s="34">
        <v>10121</v>
      </c>
      <c r="E18" s="36">
        <v>330</v>
      </c>
      <c r="F18" s="44">
        <f>VLOOKUP('Retained Provisional CHWM Calcs'!B18,CHWM_published!B20:AR155,43,FALSE)</f>
        <v>41.484999999999999</v>
      </c>
      <c r="G18" s="45">
        <f>VLOOKUP('Retained Provisional CHWM Calcs'!$B18,CHWM_published!$B$12:$AR$147,40,FALSE)</f>
        <v>9.5000000000000001E-2</v>
      </c>
      <c r="H18" s="45">
        <f>VLOOKUP('Retained Provisional CHWM Calcs'!$B18,CHWM_published!$B$12:$AR$147,33,FALSE)</f>
        <v>9.100000000000108E-2</v>
      </c>
      <c r="I18" s="48" t="s">
        <v>106</v>
      </c>
      <c r="J18" s="46">
        <v>40.161999999999999</v>
      </c>
      <c r="K18" s="47">
        <v>0</v>
      </c>
      <c r="L18" s="47">
        <v>-0.61799999999999999</v>
      </c>
      <c r="M18" s="47">
        <v>0</v>
      </c>
      <c r="N18" s="47">
        <v>0</v>
      </c>
      <c r="O18" s="47">
        <f t="shared" si="0"/>
        <v>39.543999999999997</v>
      </c>
      <c r="P18" s="47">
        <f>VLOOKUP(B18,CHWM_published!B20:AL155,37,FALSE)</f>
        <v>0.51900000000000002</v>
      </c>
      <c r="Q18" s="47">
        <v>0.45100000000000001</v>
      </c>
      <c r="R18" s="47">
        <f t="shared" si="1"/>
        <v>40.513999999999996</v>
      </c>
      <c r="S18" s="47">
        <f>VLOOKUP('Retained Provisional CHWM Calcs'!$B18,CHWM_published!$B$12:$AR$147,28,FALSE)</f>
        <v>40.234000000000002</v>
      </c>
      <c r="T18" s="47">
        <f t="shared" si="2"/>
        <v>0.27999999999999403</v>
      </c>
      <c r="U18" s="48">
        <f t="shared" si="3"/>
        <v>9.100000000000108E-2</v>
      </c>
      <c r="V18" s="46"/>
      <c r="W18" s="47"/>
      <c r="X18" s="47"/>
      <c r="Y18" s="48"/>
      <c r="Z18" s="46">
        <f t="shared" si="4"/>
        <v>9.100000000000108E-2</v>
      </c>
      <c r="AA18" s="47">
        <f>VLOOKUP('Retained Provisional CHWM Calcs'!$B18,CHWM_published!$B$12:$AR$147,35,FALSE)</f>
        <v>39.805999999999997</v>
      </c>
      <c r="AB18" s="45">
        <f t="shared" si="5"/>
        <v>9.5000000000000001E-2</v>
      </c>
      <c r="AC18" s="196">
        <f t="shared" si="6"/>
        <v>41.484999999999999</v>
      </c>
      <c r="AD18" s="44">
        <f t="shared" si="7"/>
        <v>41.045999999999999</v>
      </c>
      <c r="AE18" s="260" t="str">
        <f t="shared" si="8"/>
        <v>No</v>
      </c>
      <c r="AH18" s="310"/>
    </row>
    <row r="19" spans="1:34" s="19" customFormat="1">
      <c r="A19" s="69" t="s">
        <v>71</v>
      </c>
      <c r="B19" s="10">
        <v>10378</v>
      </c>
      <c r="C19" s="42" t="s">
        <v>14</v>
      </c>
      <c r="D19" s="10">
        <v>10378</v>
      </c>
      <c r="E19" s="43">
        <v>125</v>
      </c>
      <c r="F19" s="8">
        <f>VLOOKUP('Retained Provisional CHWM Calcs'!B19,CHWM_published!B21:AR156,43,FALSE)</f>
        <v>2.0550000000000002</v>
      </c>
      <c r="G19" s="9">
        <f>VLOOKUP('Retained Provisional CHWM Calcs'!$B19,CHWM_published!$B$12:$AR$147,40,FALSE)</f>
        <v>0.03</v>
      </c>
      <c r="H19" s="9">
        <f>VLOOKUP('Retained Provisional CHWM Calcs'!$B19,CHWM_published!$B$12:$AR$147,33,FALSE)</f>
        <v>2.8999999999999915E-2</v>
      </c>
      <c r="I19" s="22" t="s">
        <v>106</v>
      </c>
      <c r="J19" s="25">
        <v>1.988</v>
      </c>
      <c r="K19" s="17">
        <v>0</v>
      </c>
      <c r="L19" s="17">
        <v>-4.2000000000000003E-2</v>
      </c>
      <c r="M19" s="17">
        <v>0</v>
      </c>
      <c r="N19" s="17">
        <v>0</v>
      </c>
      <c r="O19" s="17">
        <f t="shared" si="0"/>
        <v>1.946</v>
      </c>
      <c r="P19" s="17">
        <f>VLOOKUP(B19,CHWM_published!B21:AL156,37,FALSE)</f>
        <v>3.3000000000000002E-2</v>
      </c>
      <c r="Q19" s="17">
        <v>1.4999999999999999E-2</v>
      </c>
      <c r="R19" s="17">
        <f t="shared" si="1"/>
        <v>1.9939999999999998</v>
      </c>
      <c r="S19" s="17">
        <f>VLOOKUP('Retained Provisional CHWM Calcs'!$B19,CHWM_published!$B$12:$AR$147,28,FALSE)</f>
        <v>1.9690000000000001</v>
      </c>
      <c r="T19" s="17">
        <f t="shared" si="2"/>
        <v>2.4999999999999689E-2</v>
      </c>
      <c r="U19" s="22">
        <f t="shared" si="3"/>
        <v>2.4999999999999689E-2</v>
      </c>
      <c r="V19" s="25"/>
      <c r="W19" s="17"/>
      <c r="X19" s="17"/>
      <c r="Y19" s="22"/>
      <c r="Z19" s="25">
        <f t="shared" si="4"/>
        <v>2.4999999999999689E-2</v>
      </c>
      <c r="AA19" s="17">
        <f>VLOOKUP('Retained Provisional CHWM Calcs'!$B19,CHWM_published!$B$12:$AR$147,35,FALSE)</f>
        <v>1.9649999999999999</v>
      </c>
      <c r="AB19" s="9">
        <f t="shared" si="5"/>
        <v>2.5999999999999999E-2</v>
      </c>
      <c r="AC19" s="195">
        <f t="shared" si="6"/>
        <v>2.0510000000000002</v>
      </c>
      <c r="AD19" s="8">
        <f t="shared" si="7"/>
        <v>2.0289999999999999</v>
      </c>
      <c r="AE19" s="201" t="str">
        <f t="shared" si="8"/>
        <v>Yes</v>
      </c>
      <c r="AH19" s="310"/>
    </row>
    <row r="20" spans="1:34" s="19" customFormat="1">
      <c r="A20" s="70" t="s">
        <v>72</v>
      </c>
      <c r="B20" s="34">
        <v>10070</v>
      </c>
      <c r="C20" s="35" t="s">
        <v>16</v>
      </c>
      <c r="D20" s="34">
        <v>10070</v>
      </c>
      <c r="E20" s="36">
        <v>127</v>
      </c>
      <c r="F20" s="44">
        <f>VLOOKUP('Retained Provisional CHWM Calcs'!B20,CHWM_published!B22:AR157,43,FALSE)</f>
        <v>0.36399999999999999</v>
      </c>
      <c r="G20" s="45">
        <f>VLOOKUP('Retained Provisional CHWM Calcs'!$B20,CHWM_published!$B$12:$AR$147,40,FALSE)</f>
        <v>7.0000000000000001E-3</v>
      </c>
      <c r="H20" s="45">
        <f>VLOOKUP('Retained Provisional CHWM Calcs'!$B20,CHWM_published!$B$12:$AR$147,33,FALSE)</f>
        <v>7.0000000000000062E-3</v>
      </c>
      <c r="I20" s="48" t="s">
        <v>106</v>
      </c>
      <c r="J20" s="46">
        <v>0.35499999999999998</v>
      </c>
      <c r="K20" s="47">
        <v>0</v>
      </c>
      <c r="L20" s="47">
        <v>-4.0000000000000001E-3</v>
      </c>
      <c r="M20" s="47">
        <v>0</v>
      </c>
      <c r="N20" s="47">
        <v>0</v>
      </c>
      <c r="O20" s="47">
        <f t="shared" si="0"/>
        <v>0.35099999999999998</v>
      </c>
      <c r="P20" s="47">
        <f>VLOOKUP(B20,CHWM_published!B22:AL157,37,FALSE)</f>
        <v>4.0000000000000001E-3</v>
      </c>
      <c r="Q20" s="47">
        <v>3.0000000000000001E-3</v>
      </c>
      <c r="R20" s="47">
        <f t="shared" si="1"/>
        <v>0.35799999999999998</v>
      </c>
      <c r="S20" s="47">
        <f>VLOOKUP('Retained Provisional CHWM Calcs'!$B20,CHWM_published!$B$12:$AR$147,28,FALSE)</f>
        <v>0.34699999999999998</v>
      </c>
      <c r="T20" s="47">
        <f t="shared" si="2"/>
        <v>1.100000000000001E-2</v>
      </c>
      <c r="U20" s="48">
        <f t="shared" si="3"/>
        <v>7.0000000000000062E-3</v>
      </c>
      <c r="V20" s="46"/>
      <c r="W20" s="47"/>
      <c r="X20" s="47"/>
      <c r="Y20" s="48"/>
      <c r="Z20" s="46">
        <f t="shared" si="4"/>
        <v>7.0000000000000062E-3</v>
      </c>
      <c r="AA20" s="47">
        <f>VLOOKUP('Retained Provisional CHWM Calcs'!$B20,CHWM_published!$B$12:$AR$147,35,FALSE)</f>
        <v>0.35</v>
      </c>
      <c r="AB20" s="45">
        <f t="shared" si="5"/>
        <v>7.0000000000000001E-3</v>
      </c>
      <c r="AC20" s="196">
        <f t="shared" si="6"/>
        <v>0.36399999999999999</v>
      </c>
      <c r="AD20" s="44">
        <f t="shared" si="7"/>
        <v>0.36</v>
      </c>
      <c r="AE20" s="260" t="str">
        <f t="shared" si="8"/>
        <v>No</v>
      </c>
      <c r="AH20" s="310"/>
    </row>
    <row r="21" spans="1:34" s="19" customFormat="1">
      <c r="A21" s="69" t="s">
        <v>73</v>
      </c>
      <c r="B21" s="10">
        <v>10136</v>
      </c>
      <c r="C21" s="42" t="s">
        <v>17</v>
      </c>
      <c r="D21" s="10">
        <v>10136</v>
      </c>
      <c r="E21" s="43">
        <v>333</v>
      </c>
      <c r="F21" s="8">
        <f>VLOOKUP('Retained Provisional CHWM Calcs'!B21,CHWM_published!B23:AR158,43,FALSE)</f>
        <v>19.291</v>
      </c>
      <c r="G21" s="9">
        <f>VLOOKUP('Retained Provisional CHWM Calcs'!$B21,CHWM_published!$B$12:$AR$147,40,FALSE)</f>
        <v>0.625</v>
      </c>
      <c r="H21" s="9">
        <f>VLOOKUP('Retained Provisional CHWM Calcs'!$B21,CHWM_published!$B$12:$AR$147,33,FALSE)</f>
        <v>0.60200000000000031</v>
      </c>
      <c r="I21" s="22" t="s">
        <v>106</v>
      </c>
      <c r="J21" s="25">
        <v>17.815999999999999</v>
      </c>
      <c r="K21" s="17">
        <v>0</v>
      </c>
      <c r="L21" s="17">
        <v>6.2E-2</v>
      </c>
      <c r="M21" s="17">
        <v>0</v>
      </c>
      <c r="N21" s="17">
        <v>0</v>
      </c>
      <c r="O21" s="17">
        <f t="shared" si="0"/>
        <v>17.878</v>
      </c>
      <c r="P21" s="17">
        <f>VLOOKUP(B21,CHWM_published!B23:AL158,37,FALSE)</f>
        <v>0.152</v>
      </c>
      <c r="Q21" s="17">
        <v>0.25800000000000001</v>
      </c>
      <c r="R21" s="17">
        <f t="shared" si="1"/>
        <v>18.288</v>
      </c>
      <c r="S21" s="17">
        <f>VLOOKUP('Retained Provisional CHWM Calcs'!$B21,CHWM_published!$B$12:$AR$147,28,FALSE)</f>
        <v>18.145</v>
      </c>
      <c r="T21" s="17">
        <f t="shared" si="2"/>
        <v>0.14300000000000068</v>
      </c>
      <c r="U21" s="22">
        <f t="shared" si="3"/>
        <v>0.14300000000000068</v>
      </c>
      <c r="V21" s="25"/>
      <c r="W21" s="17"/>
      <c r="X21" s="17"/>
      <c r="Y21" s="22"/>
      <c r="Z21" s="25">
        <f t="shared" si="4"/>
        <v>0.14300000000000068</v>
      </c>
      <c r="AA21" s="17">
        <f>VLOOKUP('Retained Provisional CHWM Calcs'!$B21,CHWM_published!$B$12:$AR$147,35,FALSE)</f>
        <v>18.594999999999999</v>
      </c>
      <c r="AB21" s="9">
        <f t="shared" si="5"/>
        <v>0.14799999999999999</v>
      </c>
      <c r="AC21" s="195">
        <f t="shared" si="6"/>
        <v>18.814</v>
      </c>
      <c r="AD21" s="8">
        <f t="shared" si="7"/>
        <v>18.614999999999998</v>
      </c>
      <c r="AE21" s="201" t="str">
        <f t="shared" si="8"/>
        <v>Yes</v>
      </c>
      <c r="AH21" s="310"/>
    </row>
    <row r="22" spans="1:34" s="19" customFormat="1">
      <c r="A22" s="70" t="s">
        <v>74</v>
      </c>
      <c r="B22" s="34">
        <v>10071</v>
      </c>
      <c r="C22" s="35" t="s">
        <v>18</v>
      </c>
      <c r="D22" s="34">
        <v>10071</v>
      </c>
      <c r="E22" s="36">
        <v>128</v>
      </c>
      <c r="F22" s="44">
        <f>VLOOKUP('Retained Provisional CHWM Calcs'!B22,CHWM_published!B24:AR159,43,FALSE)</f>
        <v>2.4790000000000001</v>
      </c>
      <c r="G22" s="45">
        <f>VLOOKUP('Retained Provisional CHWM Calcs'!$B22,CHWM_published!$B$12:$AR$147,40,FALSE)</f>
        <v>0.59</v>
      </c>
      <c r="H22" s="45">
        <f>VLOOKUP('Retained Provisional CHWM Calcs'!$B22,CHWM_published!$B$12:$AR$147,33,FALSE)</f>
        <v>0.56799999999999984</v>
      </c>
      <c r="I22" s="48" t="s">
        <v>106</v>
      </c>
      <c r="J22" s="46">
        <v>1.8460000000000001</v>
      </c>
      <c r="K22" s="47">
        <v>0</v>
      </c>
      <c r="L22" s="47">
        <v>1.6E-2</v>
      </c>
      <c r="M22" s="47">
        <v>0</v>
      </c>
      <c r="N22" s="47">
        <v>0</v>
      </c>
      <c r="O22" s="47">
        <f t="shared" si="0"/>
        <v>1.8620000000000001</v>
      </c>
      <c r="P22" s="47">
        <f>VLOOKUP(B22,CHWM_published!B24:AL159,37,FALSE)</f>
        <v>2.4E-2</v>
      </c>
      <c r="Q22" s="47">
        <v>7.0000000000000001E-3</v>
      </c>
      <c r="R22" s="47">
        <f t="shared" si="1"/>
        <v>1.893</v>
      </c>
      <c r="S22" s="47">
        <f>VLOOKUP('Retained Provisional CHWM Calcs'!$B22,CHWM_published!$B$12:$AR$147,28,FALSE)</f>
        <v>1.841</v>
      </c>
      <c r="T22" s="47">
        <f t="shared" si="2"/>
        <v>5.2000000000000046E-2</v>
      </c>
      <c r="U22" s="48">
        <f t="shared" si="3"/>
        <v>5.2000000000000046E-2</v>
      </c>
      <c r="V22" s="46"/>
      <c r="W22" s="47"/>
      <c r="X22" s="47"/>
      <c r="Y22" s="48"/>
      <c r="Z22" s="46">
        <f t="shared" si="4"/>
        <v>5.2000000000000046E-2</v>
      </c>
      <c r="AA22" s="47">
        <f>VLOOKUP('Retained Provisional CHWM Calcs'!$B22,CHWM_published!$B$12:$AR$147,35,FALSE)</f>
        <v>2.3849999999999998</v>
      </c>
      <c r="AB22" s="45">
        <f t="shared" si="5"/>
        <v>5.3999999999999999E-2</v>
      </c>
      <c r="AC22" s="196">
        <f t="shared" si="6"/>
        <v>1.9430000000000001</v>
      </c>
      <c r="AD22" s="44">
        <f t="shared" si="7"/>
        <v>1.9219999999999999</v>
      </c>
      <c r="AE22" s="260" t="str">
        <f t="shared" si="8"/>
        <v>Yes</v>
      </c>
      <c r="AH22" s="310"/>
    </row>
    <row r="23" spans="1:34" s="19" customFormat="1">
      <c r="A23" s="69" t="s">
        <v>75</v>
      </c>
      <c r="B23" s="10">
        <v>10072</v>
      </c>
      <c r="C23" s="42" t="s">
        <v>19</v>
      </c>
      <c r="D23" s="10">
        <v>10072</v>
      </c>
      <c r="E23" s="43">
        <v>133</v>
      </c>
      <c r="F23" s="8">
        <f>VLOOKUP('Retained Provisional CHWM Calcs'!B23,CHWM_published!B25:AR160,43,FALSE)</f>
        <v>24.34</v>
      </c>
      <c r="G23" s="9">
        <f>VLOOKUP('Retained Provisional CHWM Calcs'!$B23,CHWM_published!$B$12:$AR$147,40,FALSE)</f>
        <v>0.129</v>
      </c>
      <c r="H23" s="9">
        <f>VLOOKUP('Retained Provisional CHWM Calcs'!$B23,CHWM_published!$B$12:$AR$147,33,FALSE)</f>
        <v>0.12399999999999878</v>
      </c>
      <c r="I23" s="22" t="s">
        <v>106</v>
      </c>
      <c r="J23" s="25">
        <v>23.655999999999999</v>
      </c>
      <c r="K23" s="17">
        <v>0</v>
      </c>
      <c r="L23" s="17">
        <v>-0.109</v>
      </c>
      <c r="M23" s="17">
        <v>0</v>
      </c>
      <c r="N23" s="17">
        <v>0</v>
      </c>
      <c r="O23" s="17">
        <f t="shared" si="0"/>
        <v>23.546999999999997</v>
      </c>
      <c r="P23" s="17">
        <f>VLOOKUP(B23,CHWM_published!B25:AL160,37,FALSE)</f>
        <v>0.29899999999999999</v>
      </c>
      <c r="Q23" s="17">
        <v>0.25700000000000001</v>
      </c>
      <c r="R23" s="17">
        <f t="shared" si="1"/>
        <v>24.102999999999998</v>
      </c>
      <c r="S23" s="17">
        <f>VLOOKUP('Retained Provisional CHWM Calcs'!$B23,CHWM_published!$B$12:$AR$147,28,FALSE)</f>
        <v>23.535</v>
      </c>
      <c r="T23" s="17">
        <f t="shared" si="2"/>
        <v>0.56799999999999784</v>
      </c>
      <c r="U23" s="22">
        <f t="shared" si="3"/>
        <v>0.12399999999999878</v>
      </c>
      <c r="V23" s="25"/>
      <c r="W23" s="17"/>
      <c r="X23" s="17"/>
      <c r="Y23" s="22"/>
      <c r="Z23" s="25">
        <f t="shared" si="4"/>
        <v>0.12399999999999878</v>
      </c>
      <c r="AA23" s="17">
        <f>VLOOKUP('Retained Provisional CHWM Calcs'!$B23,CHWM_published!$B$12:$AR$147,35,FALSE)</f>
        <v>23.36</v>
      </c>
      <c r="AB23" s="9">
        <f t="shared" si="5"/>
        <v>0.129</v>
      </c>
      <c r="AC23" s="195">
        <f t="shared" si="6"/>
        <v>24.34</v>
      </c>
      <c r="AD23" s="8">
        <f t="shared" si="7"/>
        <v>24.082000000000001</v>
      </c>
      <c r="AE23" s="201" t="str">
        <f t="shared" si="8"/>
        <v>No</v>
      </c>
      <c r="AH23" s="310"/>
    </row>
    <row r="24" spans="1:34" s="19" customFormat="1">
      <c r="A24" s="70" t="s">
        <v>76</v>
      </c>
      <c r="B24" s="34">
        <v>10157</v>
      </c>
      <c r="C24" s="35" t="s">
        <v>20</v>
      </c>
      <c r="D24" s="34">
        <v>10157</v>
      </c>
      <c r="E24" s="36">
        <v>229</v>
      </c>
      <c r="F24" s="44">
        <f>VLOOKUP('Retained Provisional CHWM Calcs'!B24,CHWM_published!B26:AR161,43,FALSE)</f>
        <v>53.228000000000002</v>
      </c>
      <c r="G24" s="45">
        <f>VLOOKUP('Retained Provisional CHWM Calcs'!$B24,CHWM_published!$B$12:$AR$147,40,FALSE)</f>
        <v>2.5249999999999999</v>
      </c>
      <c r="H24" s="45">
        <f>VLOOKUP('Retained Provisional CHWM Calcs'!$B24,CHWM_published!$B$12:$AR$147,33,FALSE)</f>
        <v>2.4139999999999944</v>
      </c>
      <c r="I24" s="48" t="s">
        <v>106</v>
      </c>
      <c r="J24" s="46">
        <v>87.403999999999996</v>
      </c>
      <c r="K24" s="47">
        <v>-38.03</v>
      </c>
      <c r="L24" s="47">
        <v>0.245</v>
      </c>
      <c r="M24" s="47">
        <v>0</v>
      </c>
      <c r="N24" s="47">
        <v>0</v>
      </c>
      <c r="O24" s="47">
        <f t="shared" si="0"/>
        <v>49.618999999999993</v>
      </c>
      <c r="P24" s="47">
        <f>VLOOKUP(B24,CHWM_published!B26:AL161,37,FALSE)</f>
        <v>0.86099999999999999</v>
      </c>
      <c r="Q24" s="47">
        <v>0.57299999999999995</v>
      </c>
      <c r="R24" s="47">
        <f t="shared" si="1"/>
        <v>51.05299999999999</v>
      </c>
      <c r="S24" s="47">
        <f>VLOOKUP('Retained Provisional CHWM Calcs'!$B24,CHWM_published!$B$12:$AR$147,28,FALSE)</f>
        <v>51.273000000000003</v>
      </c>
      <c r="T24" s="47">
        <f t="shared" si="2"/>
        <v>-0.22000000000001307</v>
      </c>
      <c r="U24" s="48">
        <f t="shared" si="3"/>
        <v>0</v>
      </c>
      <c r="V24" s="46"/>
      <c r="W24" s="47"/>
      <c r="X24" s="47"/>
      <c r="Y24" s="48"/>
      <c r="Z24" s="46">
        <f t="shared" si="4"/>
        <v>0</v>
      </c>
      <c r="AA24" s="47">
        <f>VLOOKUP('Retained Provisional CHWM Calcs'!$B24,CHWM_published!$B$12:$AR$147,35,FALSE)</f>
        <v>50.887999999999998</v>
      </c>
      <c r="AB24" s="45">
        <f t="shared" si="5"/>
        <v>0</v>
      </c>
      <c r="AC24" s="196">
        <f t="shared" si="6"/>
        <v>50.703000000000003</v>
      </c>
      <c r="AD24" s="44">
        <f t="shared" si="7"/>
        <v>50.165999999999997</v>
      </c>
      <c r="AE24" s="260" t="str">
        <f t="shared" si="8"/>
        <v>Yes</v>
      </c>
      <c r="AH24" s="310"/>
    </row>
    <row r="25" spans="1:34" s="19" customFormat="1">
      <c r="A25" s="69" t="s">
        <v>77</v>
      </c>
      <c r="B25" s="10">
        <v>10158</v>
      </c>
      <c r="C25" s="42" t="s">
        <v>21</v>
      </c>
      <c r="D25" s="10">
        <v>10158</v>
      </c>
      <c r="E25" s="43">
        <v>195</v>
      </c>
      <c r="F25" s="8">
        <f>VLOOKUP('Retained Provisional CHWM Calcs'!B25,CHWM_published!B27:AR162,43,FALSE)</f>
        <v>2.91</v>
      </c>
      <c r="G25" s="9">
        <f>VLOOKUP('Retained Provisional CHWM Calcs'!$B25,CHWM_published!$B$12:$AR$147,40,FALSE)</f>
        <v>7.6999999999999999E-2</v>
      </c>
      <c r="H25" s="9">
        <f>VLOOKUP('Retained Provisional CHWM Calcs'!$B25,CHWM_published!$B$12:$AR$147,33,FALSE)</f>
        <v>7.3999999999999844E-2</v>
      </c>
      <c r="I25" s="22" t="s">
        <v>106</v>
      </c>
      <c r="J25" s="25">
        <v>2.73</v>
      </c>
      <c r="K25" s="17">
        <v>0</v>
      </c>
      <c r="L25" s="17">
        <v>3.0000000000000001E-3</v>
      </c>
      <c r="M25" s="17">
        <v>0</v>
      </c>
      <c r="N25" s="17">
        <v>0</v>
      </c>
      <c r="O25" s="17">
        <f t="shared" si="0"/>
        <v>2.7330000000000001</v>
      </c>
      <c r="P25" s="17">
        <f>VLOOKUP(B25,CHWM_published!B27:AL162,37,FALSE)</f>
        <v>1.9E-2</v>
      </c>
      <c r="Q25" s="17">
        <v>0</v>
      </c>
      <c r="R25" s="17">
        <f t="shared" si="1"/>
        <v>2.7520000000000002</v>
      </c>
      <c r="S25" s="17">
        <f>VLOOKUP('Retained Provisional CHWM Calcs'!$B25,CHWM_published!$B$12:$AR$147,28,FALSE)</f>
        <v>2.754</v>
      </c>
      <c r="T25" s="17">
        <f t="shared" si="2"/>
        <v>-1.9999999999997797E-3</v>
      </c>
      <c r="U25" s="22">
        <f t="shared" si="3"/>
        <v>0</v>
      </c>
      <c r="V25" s="25"/>
      <c r="W25" s="17"/>
      <c r="X25" s="17"/>
      <c r="Y25" s="22"/>
      <c r="Z25" s="25">
        <f t="shared" si="4"/>
        <v>0</v>
      </c>
      <c r="AA25" s="17">
        <f>VLOOKUP('Retained Provisional CHWM Calcs'!$B25,CHWM_published!$B$12:$AR$147,35,FALSE)</f>
        <v>2.8089999999999997</v>
      </c>
      <c r="AB25" s="9">
        <f t="shared" si="5"/>
        <v>0</v>
      </c>
      <c r="AC25" s="195">
        <f t="shared" si="6"/>
        <v>2.8330000000000002</v>
      </c>
      <c r="AD25" s="8">
        <f t="shared" si="7"/>
        <v>2.8029999999999999</v>
      </c>
      <c r="AE25" s="201" t="str">
        <f t="shared" si="8"/>
        <v>Yes</v>
      </c>
      <c r="AH25" s="310"/>
    </row>
    <row r="26" spans="1:34" s="19" customFormat="1">
      <c r="A26" s="70" t="s">
        <v>78</v>
      </c>
      <c r="B26" s="34">
        <v>10170</v>
      </c>
      <c r="C26" s="35" t="s">
        <v>22</v>
      </c>
      <c r="D26" s="34">
        <v>10170</v>
      </c>
      <c r="E26" s="36">
        <v>137</v>
      </c>
      <c r="F26" s="44">
        <f>VLOOKUP('Retained Provisional CHWM Calcs'!B26,CHWM_published!B28:AR163,43,FALSE)</f>
        <v>254.84299999999999</v>
      </c>
      <c r="G26" s="45">
        <f>VLOOKUP('Retained Provisional CHWM Calcs'!$B26,CHWM_published!$B$12:$AR$147,40,FALSE)</f>
        <v>4.4820000000000002</v>
      </c>
      <c r="H26" s="45">
        <f>VLOOKUP('Retained Provisional CHWM Calcs'!$B26,CHWM_published!$B$12:$AR$147,33,FALSE)</f>
        <v>4.1980000000000359</v>
      </c>
      <c r="I26" s="48" t="s">
        <v>106</v>
      </c>
      <c r="J26" s="46">
        <v>279.55200000000002</v>
      </c>
      <c r="K26" s="47">
        <v>-0.93200000000000005</v>
      </c>
      <c r="L26" s="47">
        <v>0.3</v>
      </c>
      <c r="M26" s="47">
        <v>0</v>
      </c>
      <c r="N26" s="47">
        <v>0</v>
      </c>
      <c r="O26" s="47">
        <f t="shared" si="0"/>
        <v>278.92</v>
      </c>
      <c r="P26" s="47">
        <f>VLOOKUP(B26,CHWM_published!B28:AL163,37,FALSE)</f>
        <v>9.3330000000000002</v>
      </c>
      <c r="Q26" s="47">
        <v>6.4630000000000001</v>
      </c>
      <c r="R26" s="47">
        <f t="shared" si="1"/>
        <v>294.71600000000007</v>
      </c>
      <c r="S26" s="47">
        <f>VLOOKUP('Retained Provisional CHWM Calcs'!$B26,CHWM_published!$B$12:$AR$147,28,FALSE)</f>
        <v>289.02999999999997</v>
      </c>
      <c r="T26" s="47">
        <f t="shared" si="2"/>
        <v>5.6860000000000923</v>
      </c>
      <c r="U26" s="48">
        <f t="shared" si="3"/>
        <v>4.1980000000000359</v>
      </c>
      <c r="V26" s="46"/>
      <c r="W26" s="47"/>
      <c r="X26" s="47"/>
      <c r="Y26" s="48"/>
      <c r="Z26" s="46">
        <f t="shared" si="4"/>
        <v>4.1980000000000359</v>
      </c>
      <c r="AA26" s="47">
        <f>VLOOKUP('Retained Provisional CHWM Calcs'!$B26,CHWM_published!$B$12:$AR$147,35,FALSE)</f>
        <v>238.69500000000005</v>
      </c>
      <c r="AB26" s="45">
        <f t="shared" si="5"/>
        <v>4.4820000000000002</v>
      </c>
      <c r="AC26" s="196">
        <f t="shared" si="6"/>
        <v>254.84299999999999</v>
      </c>
      <c r="AD26" s="44">
        <f t="shared" si="7"/>
        <v>252.14400000000001</v>
      </c>
      <c r="AE26" s="260" t="str">
        <f t="shared" si="8"/>
        <v>No</v>
      </c>
      <c r="AH26" s="310"/>
    </row>
    <row r="27" spans="1:34" s="19" customFormat="1">
      <c r="A27" s="69" t="s">
        <v>79</v>
      </c>
      <c r="B27" s="10">
        <v>10172</v>
      </c>
      <c r="C27" s="42" t="s">
        <v>23</v>
      </c>
      <c r="D27" s="10">
        <v>10172</v>
      </c>
      <c r="E27" s="43">
        <v>430</v>
      </c>
      <c r="F27" s="8">
        <f>VLOOKUP('Retained Provisional CHWM Calcs'!B27,CHWM_published!B29:AR164,43,FALSE)</f>
        <v>7.4020000000000001</v>
      </c>
      <c r="G27" s="9">
        <f>VLOOKUP('Retained Provisional CHWM Calcs'!$B27,CHWM_published!$B$12:$AR$147,40,FALSE)</f>
        <v>1.2090000000000001</v>
      </c>
      <c r="H27" s="9">
        <f>VLOOKUP('Retained Provisional CHWM Calcs'!$B27,CHWM_published!$B$12:$AR$147,33,FALSE)</f>
        <v>1.1710000000000003</v>
      </c>
      <c r="I27" s="22" t="s">
        <v>106</v>
      </c>
      <c r="J27" s="25">
        <v>5.3719999999999999</v>
      </c>
      <c r="K27" s="17">
        <v>0</v>
      </c>
      <c r="L27" s="17">
        <v>-6.5000000000000002E-2</v>
      </c>
      <c r="M27" s="17">
        <v>0</v>
      </c>
      <c r="N27" s="17">
        <v>0</v>
      </c>
      <c r="O27" s="17">
        <f t="shared" si="0"/>
        <v>5.3069999999999995</v>
      </c>
      <c r="P27" s="17">
        <f>VLOOKUP(B27,CHWM_published!B29:AL164,37,FALSE)</f>
        <v>2.5000000000000001E-2</v>
      </c>
      <c r="Q27" s="17">
        <v>0.105</v>
      </c>
      <c r="R27" s="17">
        <f t="shared" si="1"/>
        <v>5.4370000000000003</v>
      </c>
      <c r="S27" s="17">
        <f>VLOOKUP('Retained Provisional CHWM Calcs'!$B27,CHWM_published!$B$12:$AR$147,28,FALSE)</f>
        <v>6.0209999999999999</v>
      </c>
      <c r="T27" s="17">
        <f t="shared" si="2"/>
        <v>-0.58399999999999963</v>
      </c>
      <c r="U27" s="22">
        <f t="shared" si="3"/>
        <v>0</v>
      </c>
      <c r="V27" s="25"/>
      <c r="W27" s="17"/>
      <c r="X27" s="17"/>
      <c r="Y27" s="22"/>
      <c r="Z27" s="25">
        <f t="shared" si="4"/>
        <v>0</v>
      </c>
      <c r="AA27" s="17">
        <f>VLOOKUP('Retained Provisional CHWM Calcs'!$B27,CHWM_published!$B$12:$AR$147,35,FALSE)</f>
        <v>7.1670000000000007</v>
      </c>
      <c r="AB27" s="9">
        <f t="shared" si="5"/>
        <v>0</v>
      </c>
      <c r="AC27" s="195">
        <f t="shared" si="6"/>
        <v>6.1929999999999996</v>
      </c>
      <c r="AD27" s="8">
        <f t="shared" si="7"/>
        <v>6.1269999999999998</v>
      </c>
      <c r="AE27" s="201" t="str">
        <f t="shared" si="8"/>
        <v>Yes</v>
      </c>
      <c r="AH27" s="310"/>
    </row>
    <row r="28" spans="1:34" s="19" customFormat="1">
      <c r="A28" s="70" t="s">
        <v>80</v>
      </c>
      <c r="B28" s="34">
        <v>10179</v>
      </c>
      <c r="C28" s="35" t="s">
        <v>24</v>
      </c>
      <c r="D28" s="34">
        <v>10179</v>
      </c>
      <c r="E28" s="36">
        <v>339</v>
      </c>
      <c r="F28" s="44">
        <f>VLOOKUP('Retained Provisional CHWM Calcs'!B28,CHWM_published!B30:AR165,43,FALSE)</f>
        <v>169.31100000000001</v>
      </c>
      <c r="G28" s="45">
        <f>VLOOKUP('Retained Provisional CHWM Calcs'!$B28,CHWM_published!$B$12:$AR$147,40,FALSE)</f>
        <v>4.194</v>
      </c>
      <c r="H28" s="45">
        <f>VLOOKUP('Retained Provisional CHWM Calcs'!$B28,CHWM_published!$B$12:$AR$147,33,FALSE)</f>
        <v>4.0120000000000005</v>
      </c>
      <c r="I28" s="48" t="s">
        <v>106</v>
      </c>
      <c r="J28" s="46">
        <v>168.76499999999999</v>
      </c>
      <c r="K28" s="47">
        <v>0</v>
      </c>
      <c r="L28" s="47">
        <v>1.2350000000000001</v>
      </c>
      <c r="M28" s="47">
        <v>0</v>
      </c>
      <c r="N28" s="47">
        <v>0</v>
      </c>
      <c r="O28" s="47">
        <f t="shared" si="0"/>
        <v>170</v>
      </c>
      <c r="P28" s="47">
        <f>VLOOKUP(B28,CHWM_published!B30:AL165,37,FALSE)</f>
        <v>2.6320000000000001</v>
      </c>
      <c r="Q28" s="47">
        <v>3.9569999999999999</v>
      </c>
      <c r="R28" s="47">
        <f t="shared" si="1"/>
        <v>176.589</v>
      </c>
      <c r="S28" s="47">
        <f>VLOOKUP('Retained Provisional CHWM Calcs'!$B28,CHWM_published!$B$12:$AR$147,28,FALSE)</f>
        <v>166.34399999999999</v>
      </c>
      <c r="T28" s="47">
        <f t="shared" si="2"/>
        <v>10.245000000000005</v>
      </c>
      <c r="U28" s="48">
        <f t="shared" si="3"/>
        <v>4.0120000000000005</v>
      </c>
      <c r="V28" s="46"/>
      <c r="W28" s="47"/>
      <c r="X28" s="47"/>
      <c r="Y28" s="48"/>
      <c r="Z28" s="46">
        <f t="shared" si="4"/>
        <v>4.0120000000000005</v>
      </c>
      <c r="AA28" s="47">
        <f>VLOOKUP('Retained Provisional CHWM Calcs'!$B28,CHWM_published!$B$12:$AR$147,35,FALSE)</f>
        <v>161.97000000000003</v>
      </c>
      <c r="AB28" s="45">
        <f t="shared" si="5"/>
        <v>4.194</v>
      </c>
      <c r="AC28" s="196">
        <f t="shared" si="6"/>
        <v>169.31100000000001</v>
      </c>
      <c r="AD28" s="44">
        <f t="shared" si="7"/>
        <v>167.518</v>
      </c>
      <c r="AE28" s="260" t="str">
        <f t="shared" si="8"/>
        <v>No</v>
      </c>
      <c r="AH28" s="310"/>
    </row>
    <row r="29" spans="1:34" s="19" customFormat="1">
      <c r="A29" s="69" t="s">
        <v>81</v>
      </c>
      <c r="B29" s="10">
        <v>10074</v>
      </c>
      <c r="C29" s="42" t="s">
        <v>25</v>
      </c>
      <c r="D29" s="10">
        <v>10074</v>
      </c>
      <c r="E29" s="43">
        <v>142</v>
      </c>
      <c r="F29" s="8">
        <f>VLOOKUP('Retained Provisional CHWM Calcs'!B29,CHWM_published!B31:AR166,43,FALSE)</f>
        <v>27.274999999999999</v>
      </c>
      <c r="G29" s="9">
        <f>VLOOKUP('Retained Provisional CHWM Calcs'!$B29,CHWM_published!$B$12:$AR$147,40,FALSE)</f>
        <v>1.7310000000000001</v>
      </c>
      <c r="H29" s="9">
        <f>VLOOKUP('Retained Provisional CHWM Calcs'!$B29,CHWM_published!$B$12:$AR$147,33,FALSE)</f>
        <v>1.6499999999999986</v>
      </c>
      <c r="I29" s="22" t="s">
        <v>106</v>
      </c>
      <c r="J29" s="25">
        <v>28.253</v>
      </c>
      <c r="K29" s="17">
        <v>0</v>
      </c>
      <c r="L29" s="17">
        <v>-0.08</v>
      </c>
      <c r="M29" s="17">
        <v>0</v>
      </c>
      <c r="N29" s="17">
        <v>0</v>
      </c>
      <c r="O29" s="17">
        <f t="shared" si="0"/>
        <v>28.173000000000002</v>
      </c>
      <c r="P29" s="17">
        <f>VLOOKUP(B29,CHWM_published!B31:AL166,37,FALSE)</f>
        <v>0.51800000000000002</v>
      </c>
      <c r="Q29" s="17">
        <v>0.36899999999999999</v>
      </c>
      <c r="R29" s="17">
        <f t="shared" si="1"/>
        <v>29.060000000000002</v>
      </c>
      <c r="S29" s="17">
        <f>VLOOKUP('Retained Provisional CHWM Calcs'!$B29,CHWM_published!$B$12:$AR$147,28,FALSE)</f>
        <v>27.596</v>
      </c>
      <c r="T29" s="17">
        <f t="shared" si="2"/>
        <v>1.4640000000000022</v>
      </c>
      <c r="U29" s="22">
        <f t="shared" si="3"/>
        <v>1.4640000000000022</v>
      </c>
      <c r="V29" s="25"/>
      <c r="W29" s="17"/>
      <c r="X29" s="17"/>
      <c r="Y29" s="22"/>
      <c r="Z29" s="25">
        <f t="shared" si="4"/>
        <v>1.4640000000000022</v>
      </c>
      <c r="AA29" s="17">
        <f>VLOOKUP('Retained Provisional CHWM Calcs'!$B29,CHWM_published!$B$12:$AR$147,35,FALSE)</f>
        <v>26.002999999999997</v>
      </c>
      <c r="AB29" s="9">
        <f t="shared" si="5"/>
        <v>1.536</v>
      </c>
      <c r="AC29" s="195">
        <f t="shared" si="6"/>
        <v>27.08</v>
      </c>
      <c r="AD29" s="8">
        <f t="shared" si="7"/>
        <v>26.792999999999999</v>
      </c>
      <c r="AE29" s="201" t="str">
        <f t="shared" si="8"/>
        <v>Yes</v>
      </c>
      <c r="AH29" s="310"/>
    </row>
    <row r="30" spans="1:34" s="19" customFormat="1">
      <c r="A30" s="70" t="s">
        <v>82</v>
      </c>
      <c r="B30" s="34">
        <v>10191</v>
      </c>
      <c r="C30" s="35" t="s">
        <v>27</v>
      </c>
      <c r="D30" s="34">
        <v>10191</v>
      </c>
      <c r="E30" s="36">
        <v>241</v>
      </c>
      <c r="F30" s="44">
        <f>VLOOKUP('Retained Provisional CHWM Calcs'!B30,CHWM_published!B32:AR167,43,FALSE)</f>
        <v>133.17400000000001</v>
      </c>
      <c r="G30" s="45">
        <f>VLOOKUP('Retained Provisional CHWM Calcs'!$B30,CHWM_published!$B$12:$AR$147,40,FALSE)</f>
        <v>4.5350000000000001</v>
      </c>
      <c r="H30" s="45">
        <f>VLOOKUP('Retained Provisional CHWM Calcs'!$B30,CHWM_published!$B$12:$AR$147,33,FALSE)</f>
        <v>4.3580000000000041</v>
      </c>
      <c r="I30" s="48" t="s">
        <v>106</v>
      </c>
      <c r="J30" s="46">
        <v>137.036</v>
      </c>
      <c r="K30" s="47">
        <v>0</v>
      </c>
      <c r="L30" s="47">
        <v>-1.0089999999999999</v>
      </c>
      <c r="M30" s="47">
        <v>0</v>
      </c>
      <c r="N30" s="47">
        <v>0</v>
      </c>
      <c r="O30" s="47">
        <f t="shared" si="0"/>
        <v>136.02700000000002</v>
      </c>
      <c r="P30" s="47">
        <f>VLOOKUP(B30,CHWM_published!B32:AL167,37,FALSE)</f>
        <v>1.47</v>
      </c>
      <c r="Q30" s="47">
        <v>2.0259999999999998</v>
      </c>
      <c r="R30" s="47">
        <f t="shared" si="1"/>
        <v>139.52300000000002</v>
      </c>
      <c r="S30" s="47">
        <f>VLOOKUP('Retained Provisional CHWM Calcs'!$B30,CHWM_published!$B$12:$AR$147,28,FALSE)</f>
        <v>125.08199999999999</v>
      </c>
      <c r="T30" s="47">
        <f t="shared" si="2"/>
        <v>14.441000000000031</v>
      </c>
      <c r="U30" s="48">
        <f t="shared" si="3"/>
        <v>4.3580000000000041</v>
      </c>
      <c r="V30" s="46"/>
      <c r="W30" s="47"/>
      <c r="X30" s="47"/>
      <c r="Y30" s="48"/>
      <c r="Z30" s="46">
        <f t="shared" si="4"/>
        <v>4.3580000000000041</v>
      </c>
      <c r="AA30" s="47">
        <f>VLOOKUP('Retained Provisional CHWM Calcs'!$B30,CHWM_published!$B$12:$AR$147,35,FALSE)</f>
        <v>127.97</v>
      </c>
      <c r="AB30" s="45">
        <f t="shared" si="5"/>
        <v>4.5350000000000001</v>
      </c>
      <c r="AC30" s="196">
        <f t="shared" si="6"/>
        <v>133.17400000000001</v>
      </c>
      <c r="AD30" s="44">
        <f t="shared" si="7"/>
        <v>131.76400000000001</v>
      </c>
      <c r="AE30" s="260" t="str">
        <f t="shared" si="8"/>
        <v>No</v>
      </c>
      <c r="AH30" s="310"/>
    </row>
    <row r="31" spans="1:34" s="19" customFormat="1">
      <c r="A31" s="69" t="s">
        <v>83</v>
      </c>
      <c r="B31" s="10">
        <v>10235</v>
      </c>
      <c r="C31" s="42" t="s">
        <v>30</v>
      </c>
      <c r="D31" s="10">
        <v>10235</v>
      </c>
      <c r="E31" s="43">
        <v>353</v>
      </c>
      <c r="F31" s="8">
        <f>VLOOKUP('Retained Provisional CHWM Calcs'!B31,CHWM_published!B33:AR168,43,FALSE)</f>
        <v>33.838999999999999</v>
      </c>
      <c r="G31" s="9">
        <f>VLOOKUP('Retained Provisional CHWM Calcs'!$B31,CHWM_published!$B$12:$AR$147,40,FALSE)</f>
        <v>0.23200000000000001</v>
      </c>
      <c r="H31" s="9">
        <f>VLOOKUP('Retained Provisional CHWM Calcs'!$B31,CHWM_published!$B$12:$AR$147,33,FALSE)</f>
        <v>0.22099999999999653</v>
      </c>
      <c r="I31" s="22" t="s">
        <v>106</v>
      </c>
      <c r="J31" s="25">
        <v>30.831</v>
      </c>
      <c r="K31" s="17">
        <v>0</v>
      </c>
      <c r="L31" s="17">
        <v>6.6000000000000003E-2</v>
      </c>
      <c r="M31" s="17">
        <v>0</v>
      </c>
      <c r="N31" s="17">
        <v>0</v>
      </c>
      <c r="O31" s="17">
        <f t="shared" si="0"/>
        <v>30.896999999999998</v>
      </c>
      <c r="P31" s="17">
        <f>VLOOKUP(B31,CHWM_published!B33:AL168,37,FALSE)</f>
        <v>0.629</v>
      </c>
      <c r="Q31" s="17">
        <v>0.54100000000000004</v>
      </c>
      <c r="R31" s="17">
        <f t="shared" si="1"/>
        <v>32.067</v>
      </c>
      <c r="S31" s="17">
        <f>VLOOKUP('Retained Provisional CHWM Calcs'!$B31,CHWM_published!$B$12:$AR$147,28,FALSE)</f>
        <v>32.682000000000002</v>
      </c>
      <c r="T31" s="17">
        <f t="shared" si="2"/>
        <v>-0.61500000000000199</v>
      </c>
      <c r="U31" s="22">
        <f t="shared" si="3"/>
        <v>0</v>
      </c>
      <c r="V31" s="25"/>
      <c r="W31" s="17"/>
      <c r="X31" s="17"/>
      <c r="Y31" s="22"/>
      <c r="Z31" s="25">
        <f t="shared" si="4"/>
        <v>0</v>
      </c>
      <c r="AA31" s="17">
        <f>VLOOKUP('Retained Provisional CHWM Calcs'!$B31,CHWM_published!$B$12:$AR$147,35,FALSE)</f>
        <v>32.273999999999994</v>
      </c>
      <c r="AB31" s="9">
        <f t="shared" si="5"/>
        <v>0</v>
      </c>
      <c r="AC31" s="195">
        <f t="shared" si="6"/>
        <v>33.606999999999999</v>
      </c>
      <c r="AD31" s="8">
        <f t="shared" si="7"/>
        <v>33.250999999999998</v>
      </c>
      <c r="AE31" s="201" t="str">
        <f t="shared" si="8"/>
        <v>Yes</v>
      </c>
      <c r="AH31" s="310"/>
    </row>
    <row r="32" spans="1:34" s="19" customFormat="1">
      <c r="A32" s="70" t="s">
        <v>84</v>
      </c>
      <c r="B32" s="34">
        <v>10239</v>
      </c>
      <c r="C32" s="35" t="s">
        <v>32</v>
      </c>
      <c r="D32" s="34">
        <v>10239</v>
      </c>
      <c r="E32" s="36">
        <v>357</v>
      </c>
      <c r="F32" s="44">
        <f>VLOOKUP('Retained Provisional CHWM Calcs'!B32,CHWM_published!B34:AR169,43,FALSE)</f>
        <v>14.789</v>
      </c>
      <c r="G32" s="45">
        <f>VLOOKUP('Retained Provisional CHWM Calcs'!$B32,CHWM_published!$B$12:$AR$147,40,FALSE)</f>
        <v>0.61099999999999999</v>
      </c>
      <c r="H32" s="45">
        <f>VLOOKUP('Retained Provisional CHWM Calcs'!$B32,CHWM_published!$B$12:$AR$147,33,FALSE)</f>
        <v>0.58000000000000007</v>
      </c>
      <c r="I32" s="48" t="s">
        <v>106</v>
      </c>
      <c r="J32" s="46">
        <v>13.037000000000001</v>
      </c>
      <c r="K32" s="47">
        <v>0</v>
      </c>
      <c r="L32" s="47">
        <v>0.29099999999999998</v>
      </c>
      <c r="M32" s="47">
        <v>0</v>
      </c>
      <c r="N32" s="47">
        <v>0</v>
      </c>
      <c r="O32" s="47">
        <f t="shared" si="0"/>
        <v>13.328000000000001</v>
      </c>
      <c r="P32" s="47">
        <f>VLOOKUP(B32,CHWM_published!B34:AL169,37,FALSE)</f>
        <v>0.35399999999999998</v>
      </c>
      <c r="Q32" s="47">
        <v>0.151</v>
      </c>
      <c r="R32" s="47">
        <f t="shared" si="1"/>
        <v>13.833</v>
      </c>
      <c r="S32" s="47">
        <f>VLOOKUP('Retained Provisional CHWM Calcs'!$B32,CHWM_published!$B$12:$AR$147,28,FALSE)</f>
        <v>13.804</v>
      </c>
      <c r="T32" s="47">
        <f t="shared" si="2"/>
        <v>2.8999999999999915E-2</v>
      </c>
      <c r="U32" s="48">
        <f t="shared" si="3"/>
        <v>2.8999999999999915E-2</v>
      </c>
      <c r="V32" s="46"/>
      <c r="W32" s="47"/>
      <c r="X32" s="47"/>
      <c r="Y32" s="48"/>
      <c r="Z32" s="46">
        <f t="shared" si="4"/>
        <v>2.8999999999999915E-2</v>
      </c>
      <c r="AA32" s="47">
        <f>VLOOKUP('Retained Provisional CHWM Calcs'!$B32,CHWM_published!$B$12:$AR$147,35,FALSE)</f>
        <v>14.030000000000001</v>
      </c>
      <c r="AB32" s="45">
        <f t="shared" si="5"/>
        <v>3.1E-2</v>
      </c>
      <c r="AC32" s="196">
        <f t="shared" si="6"/>
        <v>14.209</v>
      </c>
      <c r="AD32" s="44">
        <f t="shared" si="7"/>
        <v>14.058999999999999</v>
      </c>
      <c r="AE32" s="260" t="str">
        <f t="shared" si="8"/>
        <v>Yes</v>
      </c>
      <c r="AH32" s="310"/>
    </row>
    <row r="33" spans="1:34" s="19" customFormat="1">
      <c r="A33" s="69" t="s">
        <v>85</v>
      </c>
      <c r="B33" s="10">
        <v>10246</v>
      </c>
      <c r="C33" s="42" t="s">
        <v>33</v>
      </c>
      <c r="D33" s="10">
        <v>10246</v>
      </c>
      <c r="E33" s="43">
        <v>257</v>
      </c>
      <c r="F33" s="8">
        <f>VLOOKUP('Retained Provisional CHWM Calcs'!B33,CHWM_published!B35:AR170,43,FALSE)</f>
        <v>9.1210000000000004</v>
      </c>
      <c r="G33" s="9">
        <f>VLOOKUP('Retained Provisional CHWM Calcs'!$B33,CHWM_published!$B$12:$AR$147,40,FALSE)</f>
        <v>3.0000000000000001E-3</v>
      </c>
      <c r="H33" s="9">
        <f>VLOOKUP('Retained Provisional CHWM Calcs'!$B33,CHWM_published!$B$12:$AR$147,33,FALSE)</f>
        <v>3.0000000000001137E-3</v>
      </c>
      <c r="I33" s="22" t="s">
        <v>106</v>
      </c>
      <c r="J33" s="25">
        <v>8.7469999999999999</v>
      </c>
      <c r="K33" s="17">
        <v>0</v>
      </c>
      <c r="L33" s="17">
        <v>4.1000000000000002E-2</v>
      </c>
      <c r="M33" s="17">
        <v>0</v>
      </c>
      <c r="N33" s="17">
        <v>0</v>
      </c>
      <c r="O33" s="17">
        <f t="shared" si="0"/>
        <v>8.7880000000000003</v>
      </c>
      <c r="P33" s="17">
        <f>VLOOKUP(B33,CHWM_published!B35:AL170,37,FALSE)</f>
        <v>0.14699999999999999</v>
      </c>
      <c r="Q33" s="17">
        <v>5.8000000000000003E-2</v>
      </c>
      <c r="R33" s="17">
        <f t="shared" si="1"/>
        <v>8.9930000000000003</v>
      </c>
      <c r="S33" s="17">
        <f>VLOOKUP('Retained Provisional CHWM Calcs'!$B33,CHWM_published!$B$12:$AR$147,28,FALSE)</f>
        <v>8.8650000000000002</v>
      </c>
      <c r="T33" s="17">
        <f t="shared" si="2"/>
        <v>0.12800000000000011</v>
      </c>
      <c r="U33" s="22">
        <f t="shared" si="3"/>
        <v>3.0000000000001137E-3</v>
      </c>
      <c r="V33" s="25"/>
      <c r="W33" s="17"/>
      <c r="X33" s="17"/>
      <c r="Y33" s="22"/>
      <c r="Z33" s="25">
        <f t="shared" si="4"/>
        <v>3.0000000000001137E-3</v>
      </c>
      <c r="AA33" s="17">
        <f>VLOOKUP('Retained Provisional CHWM Calcs'!$B33,CHWM_published!$B$12:$AR$147,35,FALSE)</f>
        <v>8.7210000000000001</v>
      </c>
      <c r="AB33" s="9">
        <f t="shared" si="5"/>
        <v>3.0000000000000001E-3</v>
      </c>
      <c r="AC33" s="195">
        <f t="shared" si="6"/>
        <v>9.1210000000000004</v>
      </c>
      <c r="AD33" s="8">
        <f t="shared" si="7"/>
        <v>9.0239999999999991</v>
      </c>
      <c r="AE33" s="201" t="str">
        <f t="shared" si="8"/>
        <v>No</v>
      </c>
      <c r="AH33" s="310"/>
    </row>
    <row r="34" spans="1:34" s="19" customFormat="1">
      <c r="A34" s="70" t="s">
        <v>86</v>
      </c>
      <c r="B34" s="34">
        <v>10247</v>
      </c>
      <c r="C34" s="35" t="s">
        <v>34</v>
      </c>
      <c r="D34" s="34">
        <v>10247</v>
      </c>
      <c r="E34" s="36">
        <v>258</v>
      </c>
      <c r="F34" s="44">
        <f>VLOOKUP('Retained Provisional CHWM Calcs'!B34,CHWM_published!B36:AR171,43,FALSE)</f>
        <v>81.120999999999995</v>
      </c>
      <c r="G34" s="45">
        <f>VLOOKUP('Retained Provisional CHWM Calcs'!$B34,CHWM_published!$B$12:$AR$147,40,FALSE)</f>
        <v>0.192</v>
      </c>
      <c r="H34" s="45">
        <f>VLOOKUP('Retained Provisional CHWM Calcs'!$B34,CHWM_published!$B$12:$AR$147,33,FALSE)</f>
        <v>0.18500000000000227</v>
      </c>
      <c r="I34" s="48" t="s">
        <v>106</v>
      </c>
      <c r="J34" s="46">
        <v>78.736000000000004</v>
      </c>
      <c r="K34" s="47">
        <v>0</v>
      </c>
      <c r="L34" s="47">
        <v>0.39400000000000002</v>
      </c>
      <c r="M34" s="47">
        <v>0</v>
      </c>
      <c r="N34" s="47">
        <v>0</v>
      </c>
      <c r="O34" s="47">
        <f t="shared" si="0"/>
        <v>79.13000000000001</v>
      </c>
      <c r="P34" s="47">
        <f>VLOOKUP(B34,CHWM_published!B36:AL171,37,FALSE)</f>
        <v>0.85299999999999998</v>
      </c>
      <c r="Q34" s="47">
        <v>1.752</v>
      </c>
      <c r="R34" s="47">
        <f t="shared" si="1"/>
        <v>81.734999999999999</v>
      </c>
      <c r="S34" s="47">
        <f>VLOOKUP('Retained Provisional CHWM Calcs'!$B34,CHWM_published!$B$12:$AR$147,28,FALSE)</f>
        <v>79.316000000000003</v>
      </c>
      <c r="T34" s="47">
        <f t="shared" si="2"/>
        <v>2.4189999999999969</v>
      </c>
      <c r="U34" s="48">
        <f t="shared" si="3"/>
        <v>0.18500000000000227</v>
      </c>
      <c r="V34" s="46"/>
      <c r="W34" s="47"/>
      <c r="X34" s="47"/>
      <c r="Y34" s="48"/>
      <c r="Z34" s="46">
        <f t="shared" si="4"/>
        <v>0.18500000000000227</v>
      </c>
      <c r="AA34" s="47">
        <f>VLOOKUP('Retained Provisional CHWM Calcs'!$B34,CHWM_published!$B$12:$AR$147,35,FALSE)</f>
        <v>77.991000000000014</v>
      </c>
      <c r="AB34" s="45">
        <f t="shared" si="5"/>
        <v>0.192</v>
      </c>
      <c r="AC34" s="196">
        <f t="shared" si="6"/>
        <v>81.120999999999995</v>
      </c>
      <c r="AD34" s="44">
        <f t="shared" si="7"/>
        <v>80.262</v>
      </c>
      <c r="AE34" s="260" t="str">
        <f t="shared" si="8"/>
        <v>No</v>
      </c>
      <c r="AH34" s="310"/>
    </row>
    <row r="35" spans="1:34" s="19" customFormat="1">
      <c r="A35" s="69" t="s">
        <v>87</v>
      </c>
      <c r="B35" s="10">
        <v>10078</v>
      </c>
      <c r="C35" s="42" t="s">
        <v>35</v>
      </c>
      <c r="D35" s="10">
        <v>10078</v>
      </c>
      <c r="E35" s="43">
        <v>154</v>
      </c>
      <c r="F35" s="8">
        <f>VLOOKUP('Retained Provisional CHWM Calcs'!B35,CHWM_published!B37:AR172,43,FALSE)</f>
        <v>4.2359999999999998</v>
      </c>
      <c r="G35" s="9">
        <f>VLOOKUP('Retained Provisional CHWM Calcs'!$B35,CHWM_published!$B$12:$AR$147,40,FALSE)</f>
        <v>0.46300000000000002</v>
      </c>
      <c r="H35" s="9">
        <f>VLOOKUP('Retained Provisional CHWM Calcs'!$B35,CHWM_published!$B$12:$AR$147,33,FALSE)</f>
        <v>0.44199999999999973</v>
      </c>
      <c r="I35" s="22" t="s">
        <v>106</v>
      </c>
      <c r="J35" s="25">
        <v>3.4950000000000001</v>
      </c>
      <c r="K35" s="17">
        <v>0</v>
      </c>
      <c r="L35" s="17">
        <v>1.7000000000000001E-2</v>
      </c>
      <c r="M35" s="17">
        <v>0</v>
      </c>
      <c r="N35" s="17">
        <v>0</v>
      </c>
      <c r="O35" s="17">
        <f t="shared" si="0"/>
        <v>3.512</v>
      </c>
      <c r="P35" s="17">
        <f>VLOOKUP(B35,CHWM_published!B37:AL172,37,FALSE)</f>
        <v>7.9000000000000001E-2</v>
      </c>
      <c r="Q35" s="17">
        <v>2.5000000000000001E-2</v>
      </c>
      <c r="R35" s="17">
        <f t="shared" si="1"/>
        <v>3.6160000000000001</v>
      </c>
      <c r="S35" s="17">
        <f>VLOOKUP('Retained Provisional CHWM Calcs'!$B35,CHWM_published!$B$12:$AR$147,28,FALSE)</f>
        <v>3.677</v>
      </c>
      <c r="T35" s="17">
        <f t="shared" si="2"/>
        <v>-6.0999999999999943E-2</v>
      </c>
      <c r="U35" s="22">
        <f t="shared" si="3"/>
        <v>0</v>
      </c>
      <c r="V35" s="25"/>
      <c r="W35" s="17"/>
      <c r="X35" s="17"/>
      <c r="Y35" s="22"/>
      <c r="Z35" s="25">
        <f t="shared" si="4"/>
        <v>0</v>
      </c>
      <c r="AA35" s="17">
        <f>VLOOKUP('Retained Provisional CHWM Calcs'!$B35,CHWM_published!$B$12:$AR$147,35,FALSE)</f>
        <v>4.0399999999999991</v>
      </c>
      <c r="AB35" s="9">
        <f t="shared" si="5"/>
        <v>0</v>
      </c>
      <c r="AC35" s="195">
        <f t="shared" si="6"/>
        <v>3.7729999999999997</v>
      </c>
      <c r="AD35" s="8">
        <f t="shared" si="7"/>
        <v>3.7330000000000001</v>
      </c>
      <c r="AE35" s="201" t="str">
        <f t="shared" si="8"/>
        <v>Yes</v>
      </c>
      <c r="AH35" s="310"/>
    </row>
    <row r="36" spans="1:34" s="19" customFormat="1">
      <c r="A36" s="70" t="s">
        <v>88</v>
      </c>
      <c r="B36" s="34">
        <v>10081</v>
      </c>
      <c r="C36" s="35" t="s">
        <v>37</v>
      </c>
      <c r="D36" s="34">
        <v>10081</v>
      </c>
      <c r="E36" s="36">
        <v>159</v>
      </c>
      <c r="F36" s="44">
        <f>VLOOKUP('Retained Provisional CHWM Calcs'!B36,CHWM_published!B38:AR173,43,FALSE)</f>
        <v>10.698</v>
      </c>
      <c r="G36" s="45">
        <f>VLOOKUP('Retained Provisional CHWM Calcs'!$B36,CHWM_published!$B$12:$AR$147,40,FALSE)</f>
        <v>9.9000000000000005E-2</v>
      </c>
      <c r="H36" s="45">
        <f>VLOOKUP('Retained Provisional CHWM Calcs'!$B36,CHWM_published!$B$12:$AR$147,33,FALSE)</f>
        <v>9.4000000000001194E-2</v>
      </c>
      <c r="I36" s="48" t="s">
        <v>106</v>
      </c>
      <c r="J36" s="46">
        <v>12.644</v>
      </c>
      <c r="K36" s="47">
        <v>0</v>
      </c>
      <c r="L36" s="47">
        <v>6.2E-2</v>
      </c>
      <c r="M36" s="47">
        <v>0</v>
      </c>
      <c r="N36" s="47">
        <v>0</v>
      </c>
      <c r="O36" s="47">
        <f t="shared" si="0"/>
        <v>12.706</v>
      </c>
      <c r="P36" s="47">
        <f>VLOOKUP(B36,CHWM_published!B38:AL173,37,FALSE)</f>
        <v>0.20300000000000001</v>
      </c>
      <c r="Q36" s="47">
        <v>0.13500000000000001</v>
      </c>
      <c r="R36" s="47">
        <f t="shared" si="1"/>
        <v>13.043999999999999</v>
      </c>
      <c r="S36" s="47">
        <f>VLOOKUP('Retained Provisional CHWM Calcs'!$B36,CHWM_published!$B$12:$AR$147,28,FALSE)</f>
        <v>13.032999999999999</v>
      </c>
      <c r="T36" s="47">
        <f t="shared" si="2"/>
        <v>1.0999999999999233E-2</v>
      </c>
      <c r="U36" s="48">
        <f t="shared" si="3"/>
        <v>1.0999999999999233E-2</v>
      </c>
      <c r="V36" s="46"/>
      <c r="W36" s="47"/>
      <c r="X36" s="47"/>
      <c r="Y36" s="48"/>
      <c r="Z36" s="46">
        <f t="shared" si="4"/>
        <v>1.0999999999999233E-2</v>
      </c>
      <c r="AA36" s="47">
        <f>VLOOKUP('Retained Provisional CHWM Calcs'!$B36,CHWM_published!$B$12:$AR$147,35,FALSE)</f>
        <v>10.199000000000002</v>
      </c>
      <c r="AB36" s="45">
        <f t="shared" si="5"/>
        <v>1.2E-2</v>
      </c>
      <c r="AC36" s="196">
        <f t="shared" si="6"/>
        <v>10.611000000000001</v>
      </c>
      <c r="AD36" s="44">
        <f t="shared" si="7"/>
        <v>10.499000000000001</v>
      </c>
      <c r="AE36" s="260" t="str">
        <f t="shared" si="8"/>
        <v>Yes</v>
      </c>
      <c r="AH36" s="310"/>
    </row>
    <row r="37" spans="1:34" s="19" customFormat="1">
      <c r="A37" s="69" t="s">
        <v>89</v>
      </c>
      <c r="B37" s="10">
        <v>10258</v>
      </c>
      <c r="C37" s="42" t="s">
        <v>38</v>
      </c>
      <c r="D37" s="10">
        <v>10258</v>
      </c>
      <c r="E37" s="43">
        <v>483</v>
      </c>
      <c r="F37" s="8">
        <f>VLOOKUP('Retained Provisional CHWM Calcs'!B37,CHWM_published!B39:AR174,43,FALSE)</f>
        <v>38.518000000000001</v>
      </c>
      <c r="G37" s="9">
        <f>VLOOKUP('Retained Provisional CHWM Calcs'!$B37,CHWM_published!$B$12:$AR$147,40,FALSE)</f>
        <v>0.40400000000000003</v>
      </c>
      <c r="H37" s="9">
        <f>VLOOKUP('Retained Provisional CHWM Calcs'!$B37,CHWM_published!$B$12:$AR$147,33,FALSE)</f>
        <v>0.38600000000000279</v>
      </c>
      <c r="I37" s="22" t="s">
        <v>106</v>
      </c>
      <c r="J37" s="25">
        <v>45.918999999999997</v>
      </c>
      <c r="K37" s="17">
        <v>0</v>
      </c>
      <c r="L37" s="17">
        <v>0.61299999999999999</v>
      </c>
      <c r="M37" s="17">
        <v>-2.54</v>
      </c>
      <c r="N37" s="17">
        <v>2.2389999999999999</v>
      </c>
      <c r="O37" s="17">
        <f t="shared" si="0"/>
        <v>46.230999999999995</v>
      </c>
      <c r="P37" s="17">
        <f>VLOOKUP(B37,CHWM_published!B39:AL174,37,FALSE)</f>
        <v>0.62</v>
      </c>
      <c r="Q37" s="17">
        <v>0.37</v>
      </c>
      <c r="R37" s="17">
        <f t="shared" si="1"/>
        <v>47.220999999999989</v>
      </c>
      <c r="S37" s="17">
        <f>VLOOKUP('Retained Provisional CHWM Calcs'!$B37,CHWM_published!$B$12:$AR$147,28,FALSE)</f>
        <v>46.716999999999999</v>
      </c>
      <c r="T37" s="17">
        <f t="shared" si="2"/>
        <v>0.50399999999999068</v>
      </c>
      <c r="U37" s="22">
        <f t="shared" si="3"/>
        <v>0.38600000000000279</v>
      </c>
      <c r="V37" s="25"/>
      <c r="W37" s="17"/>
      <c r="X37" s="17"/>
      <c r="Y37" s="22"/>
      <c r="Z37" s="25">
        <f t="shared" si="4"/>
        <v>0.38600000000000279</v>
      </c>
      <c r="AA37" s="17">
        <f>VLOOKUP('Retained Provisional CHWM Calcs'!$B37,CHWM_published!$B$12:$AR$147,35,FALSE)</f>
        <v>36.827999999999996</v>
      </c>
      <c r="AB37" s="9">
        <f t="shared" si="5"/>
        <v>0.40400000000000003</v>
      </c>
      <c r="AC37" s="195">
        <f t="shared" si="6"/>
        <v>38.518000000000001</v>
      </c>
      <c r="AD37" s="8">
        <f t="shared" si="7"/>
        <v>38.11</v>
      </c>
      <c r="AE37" s="201" t="str">
        <f t="shared" si="8"/>
        <v>No</v>
      </c>
      <c r="AH37" s="310"/>
    </row>
    <row r="38" spans="1:34" s="19" customFormat="1">
      <c r="A38" s="70" t="s">
        <v>90</v>
      </c>
      <c r="B38" s="34">
        <v>10286</v>
      </c>
      <c r="C38" s="35" t="s">
        <v>39</v>
      </c>
      <c r="D38" s="34">
        <v>10286</v>
      </c>
      <c r="E38" s="36">
        <v>266</v>
      </c>
      <c r="F38" s="44">
        <f>VLOOKUP('Retained Provisional CHWM Calcs'!B38,CHWM_published!B40:AR175,43,FALSE)</f>
        <v>49.677999999999997</v>
      </c>
      <c r="G38" s="45">
        <f>VLOOKUP('Retained Provisional CHWM Calcs'!$B38,CHWM_published!$B$12:$AR$147,40,FALSE)</f>
        <v>3.758</v>
      </c>
      <c r="H38" s="45">
        <f>VLOOKUP('Retained Provisional CHWM Calcs'!$B38,CHWM_published!$B$12:$AR$147,33,FALSE)</f>
        <v>3.6020000000000039</v>
      </c>
      <c r="I38" s="48" t="s">
        <v>106</v>
      </c>
      <c r="J38" s="46">
        <v>70.072000000000003</v>
      </c>
      <c r="K38" s="47">
        <v>0</v>
      </c>
      <c r="L38" s="47">
        <v>-1.3120000000000001</v>
      </c>
      <c r="M38" s="47">
        <v>-7.4939999999999998</v>
      </c>
      <c r="N38" s="47">
        <v>8.2370000000000001</v>
      </c>
      <c r="O38" s="47">
        <f t="shared" si="0"/>
        <v>69.503</v>
      </c>
      <c r="P38" s="47">
        <f>VLOOKUP(B38,CHWM_published!B40:AL175,37,FALSE)</f>
        <v>0.67800000000000005</v>
      </c>
      <c r="Q38" s="47">
        <v>0.78500000000000003</v>
      </c>
      <c r="R38" s="47">
        <f t="shared" si="1"/>
        <v>70.965999999999994</v>
      </c>
      <c r="S38" s="47">
        <f>VLOOKUP('Retained Provisional CHWM Calcs'!$B38,CHWM_published!$B$12:$AR$147,28,FALSE)</f>
        <v>70.317999999999998</v>
      </c>
      <c r="T38" s="47">
        <f t="shared" si="2"/>
        <v>0.64799999999999613</v>
      </c>
      <c r="U38" s="48">
        <f t="shared" si="3"/>
        <v>0.64799999999999613</v>
      </c>
      <c r="V38" s="46"/>
      <c r="W38" s="47"/>
      <c r="X38" s="47"/>
      <c r="Y38" s="48"/>
      <c r="Z38" s="46">
        <f t="shared" si="4"/>
        <v>0.64799999999999613</v>
      </c>
      <c r="AA38" s="47">
        <f>VLOOKUP('Retained Provisional CHWM Calcs'!$B38,CHWM_published!$B$12:$AR$147,35,FALSE)</f>
        <v>47.61399999999999</v>
      </c>
      <c r="AB38" s="45">
        <f t="shared" si="5"/>
        <v>0.67600000000000005</v>
      </c>
      <c r="AC38" s="196">
        <f t="shared" si="6"/>
        <v>46.595999999999997</v>
      </c>
      <c r="AD38" s="44">
        <f t="shared" si="7"/>
        <v>46.103000000000002</v>
      </c>
      <c r="AE38" s="260" t="str">
        <f t="shared" si="8"/>
        <v>Yes</v>
      </c>
      <c r="AH38" s="310"/>
    </row>
    <row r="39" spans="1:34" s="19" customFormat="1">
      <c r="A39" s="69" t="s">
        <v>91</v>
      </c>
      <c r="B39" s="10">
        <v>10288</v>
      </c>
      <c r="C39" s="42" t="s">
        <v>40</v>
      </c>
      <c r="D39" s="10">
        <v>10288</v>
      </c>
      <c r="E39" s="43">
        <v>376</v>
      </c>
      <c r="F39" s="8">
        <f>VLOOKUP('Retained Provisional CHWM Calcs'!B39,CHWM_published!B41:AR176,43,FALSE)</f>
        <v>25.103000000000002</v>
      </c>
      <c r="G39" s="9">
        <f>VLOOKUP('Retained Provisional CHWM Calcs'!$B39,CHWM_published!$B$12:$AR$147,40,FALSE)</f>
        <v>0.26300000000000001</v>
      </c>
      <c r="H39" s="9">
        <f>VLOOKUP('Retained Provisional CHWM Calcs'!$B39,CHWM_published!$B$12:$AR$147,33,FALSE)</f>
        <v>0.25100000000000122</v>
      </c>
      <c r="I39" s="22" t="s">
        <v>106</v>
      </c>
      <c r="J39" s="25">
        <v>24.31</v>
      </c>
      <c r="K39" s="17">
        <v>0</v>
      </c>
      <c r="L39" s="17">
        <v>0.28899999999999998</v>
      </c>
      <c r="M39" s="17">
        <v>0</v>
      </c>
      <c r="N39" s="17">
        <v>0</v>
      </c>
      <c r="O39" s="17">
        <f t="shared" si="0"/>
        <v>24.599</v>
      </c>
      <c r="P39" s="17">
        <f>VLOOKUP(B39,CHWM_published!B41:AL176,37,FALSE)</f>
        <v>0.45600000000000002</v>
      </c>
      <c r="Q39" s="17">
        <v>0.30199999999999999</v>
      </c>
      <c r="R39" s="17">
        <f t="shared" si="1"/>
        <v>25.356999999999999</v>
      </c>
      <c r="S39" s="17">
        <f>VLOOKUP('Retained Provisional CHWM Calcs'!$B39,CHWM_published!$B$12:$AR$147,28,FALSE)</f>
        <v>24.157</v>
      </c>
      <c r="T39" s="17">
        <f t="shared" si="2"/>
        <v>1.1999999999999993</v>
      </c>
      <c r="U39" s="22">
        <f t="shared" si="3"/>
        <v>0.25100000000000122</v>
      </c>
      <c r="V39" s="25"/>
      <c r="W39" s="17"/>
      <c r="X39" s="17"/>
      <c r="Y39" s="22"/>
      <c r="Z39" s="25">
        <f t="shared" si="4"/>
        <v>0.25100000000000122</v>
      </c>
      <c r="AA39" s="17">
        <f>VLOOKUP('Retained Provisional CHWM Calcs'!$B39,CHWM_published!$B$12:$AR$147,35,FALSE)</f>
        <v>23.952000000000002</v>
      </c>
      <c r="AB39" s="9">
        <f t="shared" si="5"/>
        <v>0.26300000000000001</v>
      </c>
      <c r="AC39" s="195">
        <f t="shared" si="6"/>
        <v>25.103000000000002</v>
      </c>
      <c r="AD39" s="8">
        <f t="shared" si="7"/>
        <v>24.837</v>
      </c>
      <c r="AE39" s="201" t="str">
        <f t="shared" si="8"/>
        <v>No</v>
      </c>
      <c r="AH39" s="310"/>
    </row>
    <row r="40" spans="1:34" s="19" customFormat="1">
      <c r="A40" s="70" t="s">
        <v>92</v>
      </c>
      <c r="B40" s="34">
        <v>10291</v>
      </c>
      <c r="C40" s="35" t="s">
        <v>41</v>
      </c>
      <c r="D40" s="34">
        <v>10291</v>
      </c>
      <c r="E40" s="36">
        <v>371</v>
      </c>
      <c r="F40" s="44">
        <f>VLOOKUP('Retained Provisional CHWM Calcs'!B40,CHWM_published!B42:AR177,43,FALSE)</f>
        <v>82.488</v>
      </c>
      <c r="G40" s="45">
        <f>VLOOKUP('Retained Provisional CHWM Calcs'!$B40,CHWM_published!$B$12:$AR$147,40,FALSE)</f>
        <v>4.1559999999999997</v>
      </c>
      <c r="H40" s="45">
        <f>VLOOKUP('Retained Provisional CHWM Calcs'!$B40,CHWM_published!$B$12:$AR$147,33,FALSE)</f>
        <v>3.9860000000000042</v>
      </c>
      <c r="I40" s="48" t="s">
        <v>106</v>
      </c>
      <c r="J40" s="46">
        <v>78.197999999999993</v>
      </c>
      <c r="K40" s="47">
        <v>0</v>
      </c>
      <c r="L40" s="47">
        <v>-0.83</v>
      </c>
      <c r="M40" s="47">
        <v>-7.21</v>
      </c>
      <c r="N40" s="47">
        <v>5.7640000000000002</v>
      </c>
      <c r="O40" s="47">
        <f t="shared" si="0"/>
        <v>75.921999999999997</v>
      </c>
      <c r="P40" s="47">
        <f>VLOOKUP(B40,CHWM_published!B42:AL177,37,FALSE)</f>
        <v>1.0649999999999999</v>
      </c>
      <c r="Q40" s="47">
        <v>1.1579999999999999</v>
      </c>
      <c r="R40" s="47">
        <f t="shared" si="1"/>
        <v>78.144999999999996</v>
      </c>
      <c r="S40" s="47">
        <f>VLOOKUP('Retained Provisional CHWM Calcs'!$B40,CHWM_published!$B$12:$AR$147,28,FALSE)</f>
        <v>76.197000000000003</v>
      </c>
      <c r="T40" s="47">
        <f t="shared" si="2"/>
        <v>1.9479999999999933</v>
      </c>
      <c r="U40" s="48">
        <f t="shared" si="3"/>
        <v>1.9479999999999933</v>
      </c>
      <c r="V40" s="46"/>
      <c r="W40" s="47"/>
      <c r="X40" s="47"/>
      <c r="Y40" s="48"/>
      <c r="Z40" s="46">
        <f t="shared" si="4"/>
        <v>1.9479999999999933</v>
      </c>
      <c r="AA40" s="47">
        <f>VLOOKUP('Retained Provisional CHWM Calcs'!$B40,CHWM_published!$B$12:$AR$147,35,FALSE)</f>
        <v>79.118000000000009</v>
      </c>
      <c r="AB40" s="45">
        <f t="shared" si="5"/>
        <v>2.0310000000000001</v>
      </c>
      <c r="AC40" s="196">
        <f t="shared" si="6"/>
        <v>80.363</v>
      </c>
      <c r="AD40" s="44">
        <f t="shared" si="7"/>
        <v>79.512</v>
      </c>
      <c r="AE40" s="260" t="str">
        <f t="shared" si="8"/>
        <v>Yes</v>
      </c>
      <c r="AH40" s="310"/>
    </row>
    <row r="41" spans="1:34" s="19" customFormat="1">
      <c r="A41" s="69" t="s">
        <v>93</v>
      </c>
      <c r="B41" s="10">
        <v>10304</v>
      </c>
      <c r="C41" s="42" t="s">
        <v>43</v>
      </c>
      <c r="D41" s="10">
        <v>10304</v>
      </c>
      <c r="E41" s="43">
        <v>375</v>
      </c>
      <c r="F41" s="8">
        <f>VLOOKUP('Retained Provisional CHWM Calcs'!B41,CHWM_published!B43:AR178,43,FALSE)</f>
        <v>14.278</v>
      </c>
      <c r="G41" s="9">
        <f>VLOOKUP('Retained Provisional CHWM Calcs'!$B41,CHWM_published!$B$12:$AR$147,40,FALSE)</f>
        <v>2.7E-2</v>
      </c>
      <c r="H41" s="9">
        <f>VLOOKUP('Retained Provisional CHWM Calcs'!$B41,CHWM_published!$B$12:$AR$147,33,FALSE)</f>
        <v>2.5999999999999801E-2</v>
      </c>
      <c r="I41" s="22" t="s">
        <v>106</v>
      </c>
      <c r="J41" s="25">
        <v>13.669</v>
      </c>
      <c r="K41" s="17">
        <v>0</v>
      </c>
      <c r="L41" s="17">
        <v>0.11899999999999999</v>
      </c>
      <c r="M41" s="17">
        <v>0</v>
      </c>
      <c r="N41" s="17">
        <v>0</v>
      </c>
      <c r="O41" s="17">
        <f t="shared" si="0"/>
        <v>13.788</v>
      </c>
      <c r="P41" s="17">
        <f>VLOOKUP(B41,CHWM_published!B43:AL178,37,FALSE)</f>
        <v>0.106</v>
      </c>
      <c r="Q41" s="17">
        <v>0.16300000000000001</v>
      </c>
      <c r="R41" s="17">
        <f t="shared" si="1"/>
        <v>14.057</v>
      </c>
      <c r="S41" s="17">
        <f>VLOOKUP('Retained Provisional CHWM Calcs'!$B41,CHWM_published!$B$12:$AR$147,28,FALSE)</f>
        <v>13.849</v>
      </c>
      <c r="T41" s="17">
        <f t="shared" si="2"/>
        <v>0.20800000000000018</v>
      </c>
      <c r="U41" s="22">
        <f t="shared" si="3"/>
        <v>2.5999999999999801E-2</v>
      </c>
      <c r="V41" s="25"/>
      <c r="W41" s="17"/>
      <c r="X41" s="17"/>
      <c r="Y41" s="22"/>
      <c r="Z41" s="25">
        <f t="shared" si="4"/>
        <v>2.5999999999999801E-2</v>
      </c>
      <c r="AA41" s="17">
        <f>VLOOKUP('Retained Provisional CHWM Calcs'!$B41,CHWM_published!$B$12:$AR$147,35,FALSE)</f>
        <v>13.769</v>
      </c>
      <c r="AB41" s="9">
        <f t="shared" si="5"/>
        <v>2.7E-2</v>
      </c>
      <c r="AC41" s="195">
        <f t="shared" si="6"/>
        <v>14.278</v>
      </c>
      <c r="AD41" s="8">
        <f t="shared" si="7"/>
        <v>14.127000000000001</v>
      </c>
      <c r="AE41" s="201" t="str">
        <f t="shared" si="8"/>
        <v>No</v>
      </c>
      <c r="AH41" s="310"/>
    </row>
    <row r="42" spans="1:34" s="19" customFormat="1">
      <c r="A42" s="70" t="s">
        <v>94</v>
      </c>
      <c r="B42" s="34">
        <v>10306</v>
      </c>
      <c r="C42" s="35" t="s">
        <v>44</v>
      </c>
      <c r="D42" s="34">
        <v>10306</v>
      </c>
      <c r="E42" s="36">
        <v>273</v>
      </c>
      <c r="F42" s="44">
        <f>VLOOKUP('Retained Provisional CHWM Calcs'!B42,CHWM_published!B44:AR179,43,FALSE)</f>
        <v>29.443999999999999</v>
      </c>
      <c r="G42" s="45">
        <f>VLOOKUP('Retained Provisional CHWM Calcs'!$B42,CHWM_published!$B$12:$AR$147,40,FALSE)</f>
        <v>3.2909999999999999</v>
      </c>
      <c r="H42" s="45">
        <f>VLOOKUP('Retained Provisional CHWM Calcs'!$B42,CHWM_published!$B$12:$AR$147,33,FALSE)</f>
        <v>3.1670000000000016</v>
      </c>
      <c r="I42" s="48" t="s">
        <v>106</v>
      </c>
      <c r="J42" s="46">
        <v>115.816</v>
      </c>
      <c r="K42" s="47">
        <v>-64.936000000000007</v>
      </c>
      <c r="L42" s="47">
        <v>-0.158</v>
      </c>
      <c r="M42" s="47">
        <v>0</v>
      </c>
      <c r="N42" s="47">
        <v>0</v>
      </c>
      <c r="O42" s="47">
        <f t="shared" si="0"/>
        <v>50.721999999999994</v>
      </c>
      <c r="P42" s="47">
        <f>VLOOKUP(B42,CHWM_published!B44:AL179,37,FALSE)</f>
        <v>0.27800000000000002</v>
      </c>
      <c r="Q42" s="47">
        <v>1.3620000000000001</v>
      </c>
      <c r="R42" s="47">
        <f t="shared" si="1"/>
        <v>52.361999999999995</v>
      </c>
      <c r="S42" s="47">
        <f>VLOOKUP('Retained Provisional CHWM Calcs'!$B42,CHWM_published!$B$12:$AR$147,28,FALSE)</f>
        <v>52.823999999999998</v>
      </c>
      <c r="T42" s="47">
        <f t="shared" si="2"/>
        <v>-0.4620000000000033</v>
      </c>
      <c r="U42" s="48">
        <f t="shared" si="3"/>
        <v>0</v>
      </c>
      <c r="V42" s="46"/>
      <c r="W42" s="47"/>
      <c r="X42" s="47"/>
      <c r="Y42" s="48"/>
      <c r="Z42" s="46">
        <f t="shared" si="4"/>
        <v>0</v>
      </c>
      <c r="AA42" s="47">
        <f>VLOOKUP('Retained Provisional CHWM Calcs'!$B42,CHWM_published!$B$12:$AR$147,35,FALSE)</f>
        <v>28.338000000000001</v>
      </c>
      <c r="AB42" s="45">
        <f t="shared" si="5"/>
        <v>0</v>
      </c>
      <c r="AC42" s="196">
        <f t="shared" si="6"/>
        <v>26.152999999999999</v>
      </c>
      <c r="AD42" s="44">
        <f t="shared" si="7"/>
        <v>25.876000000000001</v>
      </c>
      <c r="AE42" s="260" t="str">
        <f t="shared" si="8"/>
        <v>Yes</v>
      </c>
      <c r="AH42" s="310"/>
    </row>
    <row r="43" spans="1:34" s="19" customFormat="1">
      <c r="A43" s="69" t="s">
        <v>95</v>
      </c>
      <c r="B43" s="10">
        <v>10086</v>
      </c>
      <c r="C43" s="42" t="s">
        <v>45</v>
      </c>
      <c r="D43" s="10">
        <v>10086</v>
      </c>
      <c r="E43" s="43">
        <v>167</v>
      </c>
      <c r="F43" s="8">
        <f>VLOOKUP('Retained Provisional CHWM Calcs'!B43,CHWM_published!B45:AR180,43,FALSE)</f>
        <v>4.0039999999999996</v>
      </c>
      <c r="G43" s="9">
        <f>VLOOKUP('Retained Provisional CHWM Calcs'!$B43,CHWM_published!$B$12:$AR$147,40,FALSE)</f>
        <v>0.01</v>
      </c>
      <c r="H43" s="9">
        <f>VLOOKUP('Retained Provisional CHWM Calcs'!$B43,CHWM_published!$B$12:$AR$147,33,FALSE)</f>
        <v>9.9999999999997868E-3</v>
      </c>
      <c r="I43" s="22" t="s">
        <v>106</v>
      </c>
      <c r="J43" s="25">
        <v>3.887</v>
      </c>
      <c r="K43" s="17">
        <v>0</v>
      </c>
      <c r="L43" s="17">
        <v>3.7999999999999999E-2</v>
      </c>
      <c r="M43" s="17">
        <v>0</v>
      </c>
      <c r="N43" s="17">
        <v>0</v>
      </c>
      <c r="O43" s="17">
        <f t="shared" si="0"/>
        <v>3.9249999999999998</v>
      </c>
      <c r="P43" s="17">
        <f>VLOOKUP(B43,CHWM_published!B45:AL180,37,FALSE)</f>
        <v>5.7000000000000002E-2</v>
      </c>
      <c r="Q43" s="17">
        <v>0.09</v>
      </c>
      <c r="R43" s="17">
        <f t="shared" si="1"/>
        <v>4.0720000000000001</v>
      </c>
      <c r="S43" s="17">
        <f>VLOOKUP('Retained Provisional CHWM Calcs'!$B43,CHWM_published!$B$12:$AR$147,28,FALSE)</f>
        <v>3.8820000000000001</v>
      </c>
      <c r="T43" s="17">
        <f t="shared" si="2"/>
        <v>0.18999999999999995</v>
      </c>
      <c r="U43" s="22">
        <f t="shared" si="3"/>
        <v>9.9999999999997868E-3</v>
      </c>
      <c r="V43" s="25"/>
      <c r="W43" s="17"/>
      <c r="X43" s="17"/>
      <c r="Y43" s="22"/>
      <c r="Z43" s="25">
        <f t="shared" si="4"/>
        <v>9.9999999999997868E-3</v>
      </c>
      <c r="AA43" s="17">
        <f>VLOOKUP('Retained Provisional CHWM Calcs'!$B43,CHWM_published!$B$12:$AR$147,35,FALSE)</f>
        <v>3.8349999999999995</v>
      </c>
      <c r="AB43" s="9">
        <f t="shared" si="5"/>
        <v>0.01</v>
      </c>
      <c r="AC43" s="195">
        <f t="shared" si="6"/>
        <v>4.0039999999999996</v>
      </c>
      <c r="AD43" s="8">
        <f t="shared" si="7"/>
        <v>3.9620000000000002</v>
      </c>
      <c r="AE43" s="201" t="str">
        <f t="shared" si="8"/>
        <v>No</v>
      </c>
      <c r="AH43" s="310"/>
    </row>
    <row r="44" spans="1:34" s="19" customFormat="1">
      <c r="A44" s="70" t="s">
        <v>96</v>
      </c>
      <c r="B44" s="34">
        <v>10331</v>
      </c>
      <c r="C44" s="35" t="s">
        <v>46</v>
      </c>
      <c r="D44" s="34">
        <v>10331</v>
      </c>
      <c r="E44" s="36">
        <v>379</v>
      </c>
      <c r="F44" s="44">
        <f>VLOOKUP('Retained Provisional CHWM Calcs'!B44,CHWM_published!B46:AR181,43,FALSE)</f>
        <v>38.633000000000003</v>
      </c>
      <c r="G44" s="45">
        <f>VLOOKUP('Retained Provisional CHWM Calcs'!$B44,CHWM_published!$B$12:$AR$147,40,FALSE)</f>
        <v>4.9729999999999999</v>
      </c>
      <c r="H44" s="45">
        <f>VLOOKUP('Retained Provisional CHWM Calcs'!$B44,CHWM_published!$B$12:$AR$147,33,FALSE)</f>
        <v>4.8109999999999999</v>
      </c>
      <c r="I44" s="48" t="s">
        <v>106</v>
      </c>
      <c r="J44" s="46">
        <v>36.874000000000002</v>
      </c>
      <c r="K44" s="47">
        <v>0</v>
      </c>
      <c r="L44" s="47">
        <v>-7.9000000000000001E-2</v>
      </c>
      <c r="M44" s="47">
        <v>-22.248000000000001</v>
      </c>
      <c r="N44" s="47">
        <v>20.422999999999998</v>
      </c>
      <c r="O44" s="47">
        <f t="shared" si="0"/>
        <v>34.97</v>
      </c>
      <c r="P44" s="47">
        <f>VLOOKUP(B44,CHWM_published!B46:AL181,37,FALSE)</f>
        <v>0.16500000000000001</v>
      </c>
      <c r="Q44" s="47">
        <v>0.96499999999999997</v>
      </c>
      <c r="R44" s="47">
        <f t="shared" si="1"/>
        <v>36.1</v>
      </c>
      <c r="S44" s="47">
        <f>VLOOKUP('Retained Provisional CHWM Calcs'!$B44,CHWM_published!$B$12:$AR$147,28,FALSE)</f>
        <v>32.725999999999999</v>
      </c>
      <c r="T44" s="47">
        <f t="shared" si="2"/>
        <v>3.3740000000000023</v>
      </c>
      <c r="U44" s="48">
        <f t="shared" si="3"/>
        <v>3.3740000000000023</v>
      </c>
      <c r="V44" s="46"/>
      <c r="W44" s="47"/>
      <c r="X44" s="47"/>
      <c r="Y44" s="48"/>
      <c r="Z44" s="46">
        <f t="shared" si="4"/>
        <v>3.3740000000000023</v>
      </c>
      <c r="AA44" s="47">
        <f>VLOOKUP('Retained Provisional CHWM Calcs'!$B44,CHWM_published!$B$12:$AR$147,35,FALSE)</f>
        <v>37.372</v>
      </c>
      <c r="AB44" s="45">
        <f t="shared" si="5"/>
        <v>3.488</v>
      </c>
      <c r="AC44" s="196">
        <f t="shared" si="6"/>
        <v>37.148000000000003</v>
      </c>
      <c r="AD44" s="44">
        <f t="shared" si="7"/>
        <v>36.755000000000003</v>
      </c>
      <c r="AE44" s="260" t="str">
        <f t="shared" si="8"/>
        <v>Yes</v>
      </c>
      <c r="AH44" s="310"/>
    </row>
    <row r="45" spans="1:34" s="19" customFormat="1">
      <c r="A45" s="69" t="s">
        <v>97</v>
      </c>
      <c r="B45" s="10">
        <v>10342</v>
      </c>
      <c r="C45" s="42" t="s">
        <v>47</v>
      </c>
      <c r="D45" s="10">
        <v>10342</v>
      </c>
      <c r="E45" s="43">
        <v>383</v>
      </c>
      <c r="F45" s="8">
        <f>VLOOKUP('Retained Provisional CHWM Calcs'!B45,CHWM_published!B47:AR182,43,FALSE)</f>
        <v>39.975999999999999</v>
      </c>
      <c r="G45" s="9">
        <f>VLOOKUP('Retained Provisional CHWM Calcs'!$B45,CHWM_published!$B$12:$AR$147,40,FALSE)</f>
        <v>0.70799999999999996</v>
      </c>
      <c r="H45" s="9">
        <f>VLOOKUP('Retained Provisional CHWM Calcs'!$B45,CHWM_published!$B$12:$AR$147,33,FALSE)</f>
        <v>0.67499999999999716</v>
      </c>
      <c r="I45" s="22" t="s">
        <v>106</v>
      </c>
      <c r="J45" s="25">
        <v>37.012999999999998</v>
      </c>
      <c r="K45" s="17">
        <v>0</v>
      </c>
      <c r="L45" s="17">
        <v>-0.26100000000000001</v>
      </c>
      <c r="M45" s="17">
        <v>0</v>
      </c>
      <c r="N45" s="17">
        <v>0</v>
      </c>
      <c r="O45" s="17">
        <f t="shared" si="0"/>
        <v>36.751999999999995</v>
      </c>
      <c r="P45" s="17">
        <f>VLOOKUP(B45,CHWM_published!B47:AL182,37,FALSE)</f>
        <v>0.78200000000000003</v>
      </c>
      <c r="Q45" s="17">
        <v>0.497</v>
      </c>
      <c r="R45" s="17">
        <f t="shared" si="1"/>
        <v>38.030999999999992</v>
      </c>
      <c r="S45" s="17">
        <f>VLOOKUP('Retained Provisional CHWM Calcs'!$B45,CHWM_published!$B$12:$AR$147,28,FALSE)</f>
        <v>38.197000000000003</v>
      </c>
      <c r="T45" s="17">
        <f t="shared" si="2"/>
        <v>-0.16600000000001103</v>
      </c>
      <c r="U45" s="22">
        <f t="shared" si="3"/>
        <v>0</v>
      </c>
      <c r="V45" s="25"/>
      <c r="W45" s="17"/>
      <c r="X45" s="17"/>
      <c r="Y45" s="22"/>
      <c r="Z45" s="25">
        <f t="shared" si="4"/>
        <v>0</v>
      </c>
      <c r="AA45" s="17">
        <f>VLOOKUP('Retained Provisional CHWM Calcs'!$B45,CHWM_published!$B$12:$AR$147,35,FALSE)</f>
        <v>38.089999999999996</v>
      </c>
      <c r="AB45" s="9">
        <f t="shared" si="5"/>
        <v>0</v>
      </c>
      <c r="AC45" s="195">
        <f t="shared" si="6"/>
        <v>39.268000000000001</v>
      </c>
      <c r="AD45" s="8">
        <f t="shared" si="7"/>
        <v>38.851999999999997</v>
      </c>
      <c r="AE45" s="201" t="str">
        <f t="shared" si="8"/>
        <v>Yes</v>
      </c>
      <c r="AH45" s="310"/>
    </row>
    <row r="46" spans="1:34" s="19" customFormat="1">
      <c r="A46" s="70" t="s">
        <v>98</v>
      </c>
      <c r="B46" s="34">
        <v>10094</v>
      </c>
      <c r="C46" s="35" t="s">
        <v>50</v>
      </c>
      <c r="D46" s="34">
        <v>10094</v>
      </c>
      <c r="E46" s="36">
        <v>181</v>
      </c>
      <c r="F46" s="44">
        <f>VLOOKUP('Retained Provisional CHWM Calcs'!B46,CHWM_published!B48:AR183,43,FALSE)</f>
        <v>3.1030000000000002</v>
      </c>
      <c r="G46" s="45">
        <f>VLOOKUP('Retained Provisional CHWM Calcs'!$B46,CHWM_published!$B$12:$AR$147,40,FALSE)</f>
        <v>8.5000000000000006E-2</v>
      </c>
      <c r="H46" s="45">
        <f>VLOOKUP('Retained Provisional CHWM Calcs'!$B46,CHWM_published!$B$12:$AR$147,33,FALSE)</f>
        <v>8.0999999999999961E-2</v>
      </c>
      <c r="I46" s="48" t="s">
        <v>106</v>
      </c>
      <c r="J46" s="46">
        <v>2.9569999999999999</v>
      </c>
      <c r="K46" s="47">
        <v>0</v>
      </c>
      <c r="L46" s="47">
        <v>-2.1000000000000001E-2</v>
      </c>
      <c r="M46" s="47">
        <v>0</v>
      </c>
      <c r="N46" s="47">
        <v>0</v>
      </c>
      <c r="O46" s="47">
        <f t="shared" si="0"/>
        <v>2.9359999999999999</v>
      </c>
      <c r="P46" s="47">
        <f>VLOOKUP(B46,CHWM_published!B48:AL183,37,FALSE)</f>
        <v>5.3999999999999999E-2</v>
      </c>
      <c r="Q46" s="47">
        <v>7.0000000000000001E-3</v>
      </c>
      <c r="R46" s="47">
        <f t="shared" si="1"/>
        <v>2.9969999999999999</v>
      </c>
      <c r="S46" s="47">
        <f>VLOOKUP('Retained Provisional CHWM Calcs'!$B46,CHWM_published!$B$12:$AR$147,28,FALSE)</f>
        <v>2.9359999999999999</v>
      </c>
      <c r="T46" s="47">
        <f t="shared" si="2"/>
        <v>6.0999999999999943E-2</v>
      </c>
      <c r="U46" s="48">
        <f t="shared" si="3"/>
        <v>6.0999999999999943E-2</v>
      </c>
      <c r="V46" s="46"/>
      <c r="W46" s="47"/>
      <c r="X46" s="47"/>
      <c r="Y46" s="48"/>
      <c r="Z46" s="46">
        <f t="shared" si="4"/>
        <v>6.0999999999999943E-2</v>
      </c>
      <c r="AA46" s="47">
        <f>VLOOKUP('Retained Provisional CHWM Calcs'!$B46,CHWM_published!$B$12:$AR$147,35,FALSE)</f>
        <v>2.9630000000000001</v>
      </c>
      <c r="AB46" s="45">
        <f t="shared" si="5"/>
        <v>6.4000000000000001E-2</v>
      </c>
      <c r="AC46" s="196">
        <f t="shared" si="6"/>
        <v>3.0820000000000003</v>
      </c>
      <c r="AD46" s="44">
        <f t="shared" si="7"/>
        <v>3.0489999999999999</v>
      </c>
      <c r="AE46" s="260" t="str">
        <f t="shared" si="8"/>
        <v>Yes</v>
      </c>
      <c r="AH46" s="310"/>
    </row>
    <row r="47" spans="1:34" s="19" customFormat="1">
      <c r="A47" s="69" t="s">
        <v>99</v>
      </c>
      <c r="B47" s="10">
        <v>10448</v>
      </c>
      <c r="C47" s="42" t="s">
        <v>52</v>
      </c>
      <c r="D47" s="10">
        <v>10448</v>
      </c>
      <c r="E47" s="43">
        <v>397</v>
      </c>
      <c r="F47" s="8">
        <f>VLOOKUP('Retained Provisional CHWM Calcs'!B47,CHWM_published!B49:AR184,43,FALSE)</f>
        <v>8.7349999999999994</v>
      </c>
      <c r="G47" s="9">
        <f>VLOOKUP('Retained Provisional CHWM Calcs'!$B47,CHWM_published!$B$12:$AR$147,40,FALSE)</f>
        <v>0.127</v>
      </c>
      <c r="H47" s="9">
        <f>VLOOKUP('Retained Provisional CHWM Calcs'!$B47,CHWM_published!$B$12:$AR$147,33,FALSE)</f>
        <v>0.12299999999999933</v>
      </c>
      <c r="I47" s="22" t="s">
        <v>106</v>
      </c>
      <c r="J47" s="25">
        <v>8.1760000000000002</v>
      </c>
      <c r="K47" s="17">
        <v>0</v>
      </c>
      <c r="L47" s="17">
        <v>6.0000000000000001E-3</v>
      </c>
      <c r="M47" s="17">
        <v>0</v>
      </c>
      <c r="N47" s="17">
        <v>0</v>
      </c>
      <c r="O47" s="17">
        <f t="shared" si="0"/>
        <v>8.1820000000000004</v>
      </c>
      <c r="P47" s="17">
        <f>VLOOKUP(B47,CHWM_published!B49:AL184,37,FALSE)</f>
        <v>4.2000000000000003E-2</v>
      </c>
      <c r="Q47" s="17">
        <v>5.1999999999999998E-2</v>
      </c>
      <c r="R47" s="17">
        <f t="shared" si="1"/>
        <v>8.2759999999999998</v>
      </c>
      <c r="S47" s="17">
        <f>VLOOKUP('Retained Provisional CHWM Calcs'!$B47,CHWM_published!$B$12:$AR$147,28,FALSE)</f>
        <v>8.3640000000000008</v>
      </c>
      <c r="T47" s="17">
        <f t="shared" si="2"/>
        <v>-8.8000000000000966E-2</v>
      </c>
      <c r="U47" s="22">
        <f t="shared" si="3"/>
        <v>0</v>
      </c>
      <c r="V47" s="25"/>
      <c r="W47" s="17"/>
      <c r="X47" s="17"/>
      <c r="Y47" s="22"/>
      <c r="Z47" s="25">
        <f t="shared" si="4"/>
        <v>0</v>
      </c>
      <c r="AA47" s="17">
        <f>VLOOKUP('Retained Provisional CHWM Calcs'!$B47,CHWM_published!$B$12:$AR$147,35,FALSE)</f>
        <v>8.4449999999999985</v>
      </c>
      <c r="AB47" s="9">
        <f t="shared" si="5"/>
        <v>0</v>
      </c>
      <c r="AC47" s="195">
        <f t="shared" si="6"/>
        <v>8.6079999999999988</v>
      </c>
      <c r="AD47" s="8">
        <f t="shared" si="7"/>
        <v>8.5169999999999995</v>
      </c>
      <c r="AE47" s="201" t="str">
        <f t="shared" si="8"/>
        <v>Yes</v>
      </c>
      <c r="AH47" s="310"/>
    </row>
    <row r="48" spans="1:34" s="19" customFormat="1">
      <c r="A48" s="70" t="s">
        <v>100</v>
      </c>
      <c r="B48" s="49">
        <v>10502</v>
      </c>
      <c r="C48" s="50" t="s">
        <v>57</v>
      </c>
      <c r="D48" s="49">
        <v>10502</v>
      </c>
      <c r="E48" s="36">
        <v>482</v>
      </c>
      <c r="F48" s="44">
        <v>10.07</v>
      </c>
      <c r="G48" s="45">
        <v>3.2000000000000001E-2</v>
      </c>
      <c r="H48" s="45">
        <v>3.0999999999999917E-2</v>
      </c>
      <c r="I48" s="48" t="s">
        <v>106</v>
      </c>
      <c r="J48" s="46">
        <v>6.4009999999999998</v>
      </c>
      <c r="K48" s="47">
        <v>0</v>
      </c>
      <c r="L48" s="47">
        <v>-1.7000000000000001E-2</v>
      </c>
      <c r="M48" s="47">
        <v>0</v>
      </c>
      <c r="N48" s="47">
        <v>0</v>
      </c>
      <c r="O48" s="47">
        <f t="shared" si="0"/>
        <v>6.3839999999999995</v>
      </c>
      <c r="P48" s="47">
        <f>VLOOKUP(B48,CHWM_published!B50:AL185,37,FALSE)</f>
        <v>5.3999999999999999E-2</v>
      </c>
      <c r="Q48" s="47">
        <v>1.7999999999999999E-2</v>
      </c>
      <c r="R48" s="47">
        <f t="shared" si="1"/>
        <v>6.4559999999999995</v>
      </c>
      <c r="S48" s="47">
        <f>4.124+1.969+0.228</f>
        <v>6.3209999999999997</v>
      </c>
      <c r="T48" s="47">
        <f t="shared" si="2"/>
        <v>0.13499999999999979</v>
      </c>
      <c r="U48" s="48">
        <f>IF(T48&gt;=H48,H48,MAX(0,T48))</f>
        <v>3.0999999999999917E-2</v>
      </c>
      <c r="V48" s="46"/>
      <c r="W48" s="47"/>
      <c r="X48" s="47"/>
      <c r="Y48" s="48"/>
      <c r="Z48" s="46">
        <f t="shared" si="4"/>
        <v>3.0999999999999917E-2</v>
      </c>
      <c r="AA48" s="47">
        <f>4.07+1.793+ROUND(0.228*(64.791/67.956),3)</f>
        <v>6.08</v>
      </c>
      <c r="AB48" s="45">
        <f>MIN(ROUND(Z48*(F48/AA48),3),G48)</f>
        <v>3.2000000000000001E-2</v>
      </c>
      <c r="AC48" s="196">
        <f t="shared" si="6"/>
        <v>10.07</v>
      </c>
      <c r="AD48" s="44">
        <f t="shared" si="7"/>
        <v>9.9629999999999992</v>
      </c>
      <c r="AE48" s="260" t="str">
        <f t="shared" si="8"/>
        <v>No</v>
      </c>
      <c r="AH48" s="310"/>
    </row>
    <row r="49" spans="1:34" s="19" customFormat="1">
      <c r="A49" s="69" t="s">
        <v>101</v>
      </c>
      <c r="B49" s="10">
        <v>10105</v>
      </c>
      <c r="C49" s="42" t="s">
        <v>10</v>
      </c>
      <c r="D49" s="10">
        <v>10105</v>
      </c>
      <c r="E49" s="43">
        <v>219</v>
      </c>
      <c r="F49" s="8">
        <f>VLOOKUP('Retained Provisional CHWM Calcs'!B49,CHWM_published!B12:AR147,43,FALSE)</f>
        <v>94.974000000000004</v>
      </c>
      <c r="G49" s="9">
        <f>VLOOKUP('Retained Provisional CHWM Calcs'!$B49,CHWM_published!$B$12:$AR$147,40,FALSE)</f>
        <v>1.9039999999999999</v>
      </c>
      <c r="H49" s="9">
        <f>VLOOKUP('Retained Provisional CHWM Calcs'!$B49,CHWM_published!$B$12:$AR$147,33,FALSE)</f>
        <v>1.8280000000000001</v>
      </c>
      <c r="I49" s="22" t="s">
        <v>107</v>
      </c>
      <c r="J49" s="25"/>
      <c r="K49" s="17"/>
      <c r="L49" s="17"/>
      <c r="M49" s="17"/>
      <c r="N49" s="17"/>
      <c r="O49" s="17"/>
      <c r="P49" s="10"/>
      <c r="Q49" s="10"/>
      <c r="R49" s="10"/>
      <c r="S49" s="17"/>
      <c r="T49" s="10"/>
      <c r="U49" s="51"/>
      <c r="V49" s="21">
        <v>1.431</v>
      </c>
      <c r="W49" s="10">
        <v>0.32400000000000001</v>
      </c>
      <c r="X49" s="10">
        <f>V49-W49</f>
        <v>1.107</v>
      </c>
      <c r="Y49" s="51">
        <f>IF(X49&gt;=H49,H49,MAX(0,X49))</f>
        <v>1.107</v>
      </c>
      <c r="Z49" s="25">
        <f t="shared" si="4"/>
        <v>1.107</v>
      </c>
      <c r="AA49" s="17">
        <f>VLOOKUP('Retained Provisional CHWM Calcs'!$B49,CHWM_published!$B$12:$AR$147,35,FALSE)</f>
        <v>91.2</v>
      </c>
      <c r="AB49" s="9">
        <f t="shared" si="5"/>
        <v>1.153</v>
      </c>
      <c r="AC49" s="195">
        <f t="shared" si="6"/>
        <v>94.222999999999999</v>
      </c>
      <c r="AD49" s="8">
        <f t="shared" si="7"/>
        <v>93.224999999999994</v>
      </c>
      <c r="AE49" s="201" t="str">
        <f t="shared" si="8"/>
        <v>Yes</v>
      </c>
      <c r="AH49" s="310"/>
    </row>
    <row r="50" spans="1:34" s="19" customFormat="1" ht="13.5" thickBot="1">
      <c r="A50" s="71" t="s">
        <v>102</v>
      </c>
      <c r="B50" s="52">
        <v>10079</v>
      </c>
      <c r="C50" s="53" t="s">
        <v>36</v>
      </c>
      <c r="D50" s="52">
        <v>10079</v>
      </c>
      <c r="E50" s="54">
        <v>155</v>
      </c>
      <c r="F50" s="55">
        <f>VLOOKUP('Retained Provisional CHWM Calcs'!B50,CHWM_published!B13:AR148,43,FALSE)</f>
        <v>105.779</v>
      </c>
      <c r="G50" s="56">
        <f>VLOOKUP('Retained Provisional CHWM Calcs'!$B50,CHWM_published!$B$12:$AR$147,40,FALSE)</f>
        <v>19.902999999999999</v>
      </c>
      <c r="H50" s="56">
        <f>VLOOKUP('Retained Provisional CHWM Calcs'!$B50,CHWM_published!$B$12:$AR$147,33,FALSE)</f>
        <v>18.684000000000001</v>
      </c>
      <c r="I50" s="204" t="s">
        <v>107</v>
      </c>
      <c r="J50" s="57"/>
      <c r="K50" s="58"/>
      <c r="L50" s="58"/>
      <c r="M50" s="58"/>
      <c r="N50" s="58"/>
      <c r="O50" s="58"/>
      <c r="P50" s="52"/>
      <c r="Q50" s="52"/>
      <c r="R50" s="52"/>
      <c r="S50" s="58"/>
      <c r="T50" s="52"/>
      <c r="U50" s="59"/>
      <c r="V50" s="60">
        <v>38.064</v>
      </c>
      <c r="W50" s="52">
        <v>34.667999999999999</v>
      </c>
      <c r="X50" s="52">
        <f>V50-W50</f>
        <v>3.3960000000000008</v>
      </c>
      <c r="Y50" s="59">
        <f>IF(X50&gt;=H50,H50,MAX(0,X50))</f>
        <v>3.3960000000000008</v>
      </c>
      <c r="Z50" s="57">
        <f t="shared" si="4"/>
        <v>3.3960000000000008</v>
      </c>
      <c r="AA50" s="58">
        <f>VLOOKUP('Retained Provisional CHWM Calcs'!$B50,CHWM_published!$B$12:$AR$147,35,FALSE)</f>
        <v>99.302000000000007</v>
      </c>
      <c r="AB50" s="56">
        <f t="shared" si="5"/>
        <v>3.6179999999999999</v>
      </c>
      <c r="AC50" s="197">
        <f>F50-(G50-AB50)</f>
        <v>89.494</v>
      </c>
      <c r="AD50" s="55">
        <f t="shared" si="7"/>
        <v>88.546000000000006</v>
      </c>
      <c r="AE50" s="263" t="str">
        <f t="shared" si="8"/>
        <v>Yes</v>
      </c>
      <c r="AH50" s="310"/>
    </row>
    <row r="51" spans="1:34" s="19" customFormat="1" ht="13.5" thickTop="1">
      <c r="A51" s="68" t="s">
        <v>103</v>
      </c>
      <c r="B51" s="61"/>
      <c r="C51" s="62"/>
      <c r="D51" s="62"/>
      <c r="E51" s="62"/>
      <c r="F51" s="62"/>
      <c r="G51" s="14"/>
      <c r="H51" s="14"/>
      <c r="I51" s="4"/>
      <c r="J51" s="4"/>
      <c r="K51" s="4"/>
      <c r="L51" s="4"/>
      <c r="M51" s="4"/>
      <c r="N51" s="4"/>
      <c r="O51" s="4"/>
      <c r="P51" s="62"/>
      <c r="Q51" s="62"/>
      <c r="R51" s="62"/>
      <c r="S51" s="62"/>
      <c r="T51" s="62"/>
      <c r="U51" s="62"/>
      <c r="V51" s="62"/>
      <c r="W51" s="62"/>
      <c r="X51" s="62"/>
      <c r="Y51" s="62"/>
      <c r="Z51" s="62"/>
      <c r="AA51" s="62"/>
      <c r="AE51" s="192"/>
    </row>
    <row r="52" spans="1:34" s="19" customFormat="1">
      <c r="A52" s="68" t="s">
        <v>104</v>
      </c>
      <c r="B52" s="61"/>
      <c r="C52" s="62" t="s">
        <v>53</v>
      </c>
      <c r="D52" s="62"/>
      <c r="E52" s="62"/>
      <c r="F52" s="62"/>
      <c r="G52" s="6">
        <f>SUM(G10:G50)</f>
        <v>80.61699999999999</v>
      </c>
      <c r="H52" s="6">
        <f>SUM(H10:H50)</f>
        <v>76.727000000000132</v>
      </c>
      <c r="J52" s="6"/>
      <c r="K52" s="6"/>
      <c r="L52" s="6"/>
      <c r="M52" s="6"/>
      <c r="N52" s="6"/>
      <c r="O52" s="6"/>
      <c r="P52" s="62"/>
      <c r="Q52" s="62"/>
      <c r="R52" s="62"/>
      <c r="S52" s="62"/>
      <c r="T52" s="62"/>
      <c r="U52" s="63">
        <f>SUM(U10:U50)</f>
        <v>37.039000000000115</v>
      </c>
      <c r="V52" s="63"/>
      <c r="W52" s="63"/>
      <c r="X52" s="63"/>
      <c r="Y52" s="63">
        <f>SUM(Y10:Y50)</f>
        <v>4.503000000000001</v>
      </c>
      <c r="Z52" s="63">
        <f>SUM(Z10:Z50)</f>
        <v>41.542000000000115</v>
      </c>
      <c r="AA52" s="63"/>
      <c r="AB52" s="64">
        <f>SUM(AB10:AB50)</f>
        <v>43.604999999999997</v>
      </c>
      <c r="AC52" s="64"/>
      <c r="AE52" s="192"/>
    </row>
    <row r="53" spans="1:34" s="19" customFormat="1">
      <c r="A53" s="31"/>
      <c r="B53" s="61"/>
      <c r="C53" s="62"/>
      <c r="D53" s="62"/>
      <c r="E53" s="62"/>
      <c r="F53" s="62"/>
      <c r="H53" s="7" t="s">
        <v>116</v>
      </c>
      <c r="I53" s="18">
        <f>COUNTIF(I10:I50,"Path 2")</f>
        <v>39</v>
      </c>
      <c r="J53" s="5"/>
      <c r="K53" s="5"/>
      <c r="L53" s="5"/>
      <c r="M53" s="5"/>
      <c r="N53" s="5"/>
      <c r="O53" s="5"/>
      <c r="P53" s="62"/>
      <c r="Q53" s="62"/>
      <c r="R53" s="62"/>
      <c r="S53" s="62"/>
      <c r="T53" s="62"/>
      <c r="U53" s="62"/>
      <c r="V53" s="62"/>
      <c r="W53" s="62"/>
      <c r="X53" s="62"/>
      <c r="Y53" s="62"/>
      <c r="Z53" s="62"/>
      <c r="AA53" s="62"/>
      <c r="AB53" s="72"/>
      <c r="AE53" s="192"/>
    </row>
    <row r="54" spans="1:34" s="19" customFormat="1">
      <c r="A54" s="31"/>
      <c r="B54" s="14"/>
      <c r="C54" s="14"/>
      <c r="D54" s="14"/>
      <c r="E54" s="14"/>
      <c r="F54" s="14"/>
      <c r="H54" s="7" t="s">
        <v>117</v>
      </c>
      <c r="I54" s="18">
        <f>COUNTIF(I10:I50,"path 1")</f>
        <v>2</v>
      </c>
      <c r="J54" s="13"/>
      <c r="K54" s="13"/>
      <c r="L54" s="13"/>
      <c r="M54" s="13"/>
      <c r="N54" s="13"/>
      <c r="O54" s="13"/>
      <c r="P54" s="14"/>
      <c r="Q54" s="14"/>
      <c r="R54" s="14"/>
      <c r="S54" s="14"/>
      <c r="T54" s="14"/>
      <c r="U54" s="14"/>
      <c r="V54" s="14"/>
      <c r="W54" s="14"/>
      <c r="X54" s="14"/>
      <c r="Y54" s="14"/>
      <c r="Z54" s="14"/>
      <c r="AA54" s="14"/>
      <c r="AE54" s="192"/>
    </row>
    <row r="55" spans="1:34" s="19" customFormat="1">
      <c r="A55" s="31"/>
      <c r="B55" s="14"/>
      <c r="C55" s="14"/>
      <c r="D55" s="14"/>
      <c r="E55" s="14"/>
      <c r="F55" s="14"/>
      <c r="G55" s="7"/>
      <c r="H55" s="7"/>
      <c r="I55" s="18"/>
      <c r="J55" s="13"/>
      <c r="K55" s="13"/>
      <c r="L55" s="13"/>
      <c r="M55" s="13"/>
      <c r="N55" s="13"/>
      <c r="O55" s="13"/>
      <c r="P55" s="14"/>
      <c r="Q55" s="14"/>
      <c r="R55" s="14"/>
      <c r="S55" s="14"/>
      <c r="T55" s="14"/>
      <c r="U55" s="14"/>
      <c r="V55" s="14"/>
      <c r="W55" s="14"/>
      <c r="X55" s="14"/>
      <c r="Y55" s="14"/>
      <c r="Z55" s="14"/>
      <c r="AA55" s="14"/>
      <c r="AC55" s="3"/>
      <c r="AD55" s="199" t="s">
        <v>431</v>
      </c>
      <c r="AE55" s="192"/>
    </row>
    <row r="56" spans="1:34" s="19" customFormat="1">
      <c r="A56" s="31"/>
      <c r="B56" s="15" t="s">
        <v>105</v>
      </c>
      <c r="C56" s="14"/>
      <c r="D56" s="14"/>
      <c r="E56" s="14"/>
      <c r="F56" s="14"/>
      <c r="G56" s="14"/>
      <c r="H56" s="14"/>
      <c r="I56" s="12"/>
      <c r="J56" s="12"/>
      <c r="K56" s="12"/>
      <c r="L56" s="12"/>
      <c r="M56" s="12"/>
      <c r="N56" s="12"/>
      <c r="O56" s="12"/>
      <c r="P56" s="14"/>
      <c r="Q56" s="14"/>
      <c r="R56" s="14"/>
      <c r="S56" s="14"/>
      <c r="T56" s="14"/>
      <c r="U56" s="14"/>
      <c r="V56" s="14"/>
      <c r="W56" s="14"/>
      <c r="X56" s="14"/>
      <c r="Y56" s="14"/>
      <c r="Z56" s="14"/>
      <c r="AA56" s="14"/>
      <c r="AC56" s="198" t="s">
        <v>432</v>
      </c>
      <c r="AD56" s="19">
        <v>7192.0389999999998</v>
      </c>
      <c r="AE56" s="192"/>
    </row>
    <row r="57" spans="1:34" s="19" customFormat="1">
      <c r="A57" s="31"/>
      <c r="B57" s="14" t="s">
        <v>115</v>
      </c>
      <c r="C57" s="14"/>
      <c r="D57" s="14"/>
      <c r="E57" s="14"/>
      <c r="F57" s="14"/>
      <c r="G57" s="14"/>
      <c r="H57" s="14"/>
      <c r="I57" s="12"/>
      <c r="J57" s="12"/>
      <c r="K57" s="12"/>
      <c r="L57" s="12"/>
      <c r="M57" s="12"/>
      <c r="N57" s="12"/>
      <c r="O57" s="12"/>
      <c r="P57" s="14"/>
      <c r="Q57" s="14"/>
      <c r="R57" s="14"/>
      <c r="S57" s="14"/>
      <c r="T57" s="14"/>
      <c r="U57" s="14"/>
      <c r="V57" s="14"/>
      <c r="W57" s="14"/>
      <c r="X57" s="14"/>
      <c r="Y57" s="14"/>
      <c r="Z57" s="14"/>
      <c r="AA57" s="14"/>
      <c r="AC57" s="198" t="s">
        <v>433</v>
      </c>
      <c r="AD57" s="19">
        <v>7115.8710000000001</v>
      </c>
      <c r="AE57" s="192"/>
    </row>
    <row r="58" spans="1:34" s="19" customFormat="1">
      <c r="A58" s="31"/>
      <c r="B58" s="14" t="s">
        <v>139</v>
      </c>
      <c r="C58" s="14"/>
      <c r="D58" s="14"/>
      <c r="E58" s="14"/>
      <c r="F58" s="14"/>
      <c r="G58" s="14"/>
      <c r="H58" s="14"/>
      <c r="I58" s="12"/>
      <c r="J58" s="12"/>
      <c r="K58" s="12"/>
      <c r="L58" s="12"/>
      <c r="M58" s="12"/>
      <c r="N58" s="12"/>
      <c r="O58" s="12"/>
      <c r="P58" s="14"/>
      <c r="Q58" s="14"/>
      <c r="R58" s="14"/>
      <c r="S58" s="14"/>
      <c r="T58" s="14"/>
      <c r="U58" s="14"/>
      <c r="V58" s="14"/>
      <c r="W58" s="14"/>
      <c r="X58" s="14"/>
      <c r="Y58" s="14"/>
      <c r="Z58" s="14"/>
      <c r="AA58" s="14"/>
      <c r="AE58" s="192"/>
    </row>
    <row r="59" spans="1:34" s="19" customFormat="1">
      <c r="A59" s="31"/>
      <c r="B59" s="20" t="s">
        <v>444</v>
      </c>
      <c r="C59" s="14"/>
      <c r="D59" s="14"/>
      <c r="E59" s="73"/>
      <c r="G59" s="14"/>
      <c r="H59" s="14"/>
      <c r="I59" s="12"/>
      <c r="J59" s="12"/>
      <c r="K59" s="12"/>
      <c r="L59" s="12"/>
      <c r="M59" s="12"/>
      <c r="N59" s="12"/>
      <c r="O59" s="12"/>
      <c r="P59" s="14"/>
      <c r="Q59" s="14"/>
      <c r="R59" s="14"/>
      <c r="S59" s="14"/>
      <c r="T59" s="14"/>
      <c r="U59" s="14"/>
      <c r="V59" s="14"/>
      <c r="W59" s="14"/>
      <c r="X59" s="14"/>
      <c r="Y59" s="14"/>
      <c r="Z59" s="14"/>
      <c r="AA59" s="14"/>
      <c r="AE59" s="192"/>
    </row>
    <row r="60" spans="1:34">
      <c r="B60" s="14" t="s">
        <v>428</v>
      </c>
    </row>
    <row r="61" spans="1:34">
      <c r="B61" s="14" t="s">
        <v>429</v>
      </c>
    </row>
    <row r="62" spans="1:34">
      <c r="B62" s="14" t="s">
        <v>445</v>
      </c>
    </row>
    <row r="63" spans="1:34">
      <c r="B63" s="14" t="s">
        <v>430</v>
      </c>
    </row>
    <row r="64" spans="1:34" s="65" customFormat="1">
      <c r="A64" s="12"/>
      <c r="B64" s="14" t="s">
        <v>140</v>
      </c>
      <c r="I64" s="12"/>
      <c r="J64" s="12"/>
      <c r="K64" s="12"/>
      <c r="L64" s="12"/>
      <c r="M64" s="12"/>
      <c r="N64" s="12"/>
      <c r="O64" s="12"/>
      <c r="AB64" s="66"/>
      <c r="AC64" s="66"/>
      <c r="AD64" s="66"/>
      <c r="AE64" s="192"/>
    </row>
    <row r="65" spans="2:2">
      <c r="B65" s="14" t="s">
        <v>443</v>
      </c>
    </row>
  </sheetData>
  <mergeCells count="6">
    <mergeCell ref="A2:C2"/>
    <mergeCell ref="AD7:AE7"/>
    <mergeCell ref="F7:I7"/>
    <mergeCell ref="V7:Y7"/>
    <mergeCell ref="Z7:AC7"/>
    <mergeCell ref="J7:U7"/>
  </mergeCells>
  <pageMargins left="0.75" right="0.75" top="1" bottom="1" header="0.5" footer="0.5"/>
  <pageSetup orientation="portrait" r:id="rId1"/>
  <headerFooter alignWithMargins="0"/>
  <ignoredErrors>
    <ignoredError sqref="AA6:AC6 Y6:Z6 H6:X6 B6 C6:G6 A7: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zoomScaleNormal="100" workbookViewId="0">
      <pane xSplit="7" ySplit="6" topLeftCell="H7" activePane="bottomRight" state="frozen"/>
      <selection pane="topRight" activeCell="H1" sqref="H1"/>
      <selection pane="bottomLeft" activeCell="A7" sqref="A7"/>
      <selection pane="bottomRight"/>
    </sheetView>
  </sheetViews>
  <sheetFormatPr defaultRowHeight="12.75"/>
  <cols>
    <col min="1" max="1" width="4.42578125" style="288" customWidth="1"/>
    <col min="2" max="2" width="17.85546875" style="288" bestFit="1" customWidth="1"/>
    <col min="3" max="3" width="24" style="288" customWidth="1"/>
    <col min="4" max="4" width="9.28515625" style="288" bestFit="1" customWidth="1"/>
    <col min="5" max="5" width="12.140625" style="288" customWidth="1"/>
    <col min="6" max="6" width="9.140625" style="288" customWidth="1"/>
    <col min="7" max="7" width="12.140625" style="288" customWidth="1"/>
    <col min="8" max="8" width="2.28515625" style="288" customWidth="1"/>
    <col min="9" max="9" width="12.140625" style="288" bestFit="1" customWidth="1"/>
    <col min="10" max="10" width="1.7109375" style="288" customWidth="1"/>
    <col min="11" max="22" width="9.7109375" style="288" customWidth="1"/>
    <col min="23" max="23" width="4.140625" style="288" customWidth="1"/>
    <col min="24" max="35" width="9.7109375" style="288" customWidth="1"/>
    <col min="36" max="36" width="5.7109375" style="288" customWidth="1"/>
    <col min="37" max="16384" width="9.140625" style="288"/>
  </cols>
  <sheetData>
    <row r="1" spans="1:39" ht="21">
      <c r="B1" s="289" t="s">
        <v>499</v>
      </c>
    </row>
    <row r="2" spans="1:39" ht="18.75">
      <c r="B2" s="290" t="s">
        <v>458</v>
      </c>
      <c r="Z2" s="291"/>
      <c r="AI2" s="313" t="s">
        <v>500</v>
      </c>
    </row>
    <row r="4" spans="1:39" s="293" customFormat="1" ht="25.5">
      <c r="B4" s="293" t="s">
        <v>0</v>
      </c>
      <c r="C4" s="293" t="s">
        <v>55</v>
      </c>
      <c r="D4" s="293" t="s">
        <v>459</v>
      </c>
      <c r="E4" s="293" t="s">
        <v>460</v>
      </c>
      <c r="G4" s="293" t="s">
        <v>111</v>
      </c>
    </row>
    <row r="5" spans="1:39" ht="15">
      <c r="E5" s="288" t="s">
        <v>461</v>
      </c>
      <c r="F5" s="288" t="s">
        <v>462</v>
      </c>
      <c r="G5" s="288" t="s">
        <v>461</v>
      </c>
      <c r="I5" s="288" t="s">
        <v>463</v>
      </c>
      <c r="K5" s="294" t="s">
        <v>464</v>
      </c>
      <c r="X5" s="294" t="s">
        <v>465</v>
      </c>
    </row>
    <row r="6" spans="1:39" ht="15">
      <c r="B6" s="288" t="s">
        <v>246</v>
      </c>
      <c r="C6" s="295" t="s">
        <v>246</v>
      </c>
      <c r="D6" s="288" t="s">
        <v>2</v>
      </c>
      <c r="E6" s="288" t="s">
        <v>2</v>
      </c>
      <c r="F6" s="288" t="s">
        <v>246</v>
      </c>
      <c r="G6" s="288" t="s">
        <v>2</v>
      </c>
      <c r="K6" s="296" t="s">
        <v>466</v>
      </c>
      <c r="L6" s="296" t="s">
        <v>467</v>
      </c>
      <c r="M6" s="296" t="s">
        <v>468</v>
      </c>
      <c r="N6" s="296" t="s">
        <v>469</v>
      </c>
      <c r="O6" s="296" t="s">
        <v>470</v>
      </c>
      <c r="P6" s="296" t="s">
        <v>471</v>
      </c>
      <c r="Q6" s="296" t="s">
        <v>472</v>
      </c>
      <c r="R6" s="296" t="s">
        <v>473</v>
      </c>
      <c r="S6" s="296" t="s">
        <v>474</v>
      </c>
      <c r="T6" s="296" t="s">
        <v>475</v>
      </c>
      <c r="U6" s="296" t="s">
        <v>476</v>
      </c>
      <c r="V6" s="296" t="s">
        <v>477</v>
      </c>
      <c r="X6" s="296" t="s">
        <v>466</v>
      </c>
      <c r="Y6" s="296" t="s">
        <v>467</v>
      </c>
      <c r="Z6" s="296" t="s">
        <v>468</v>
      </c>
      <c r="AA6" s="296" t="s">
        <v>469</v>
      </c>
      <c r="AB6" s="296" t="s">
        <v>470</v>
      </c>
      <c r="AC6" s="296" t="s">
        <v>471</v>
      </c>
      <c r="AD6" s="296" t="s">
        <v>472</v>
      </c>
      <c r="AE6" s="296" t="s">
        <v>473</v>
      </c>
      <c r="AF6" s="296" t="s">
        <v>474</v>
      </c>
      <c r="AG6" s="296" t="s">
        <v>475</v>
      </c>
      <c r="AH6" s="296" t="s">
        <v>476</v>
      </c>
      <c r="AI6" s="296" t="s">
        <v>477</v>
      </c>
    </row>
    <row r="7" spans="1:39" ht="15">
      <c r="A7" s="288">
        <v>1</v>
      </c>
      <c r="B7" s="288">
        <v>10105</v>
      </c>
      <c r="C7" s="295" t="s">
        <v>10</v>
      </c>
      <c r="D7" s="297">
        <v>94.974000000000004</v>
      </c>
      <c r="E7" s="288">
        <v>1.9039999999999999</v>
      </c>
      <c r="F7" s="288" t="s">
        <v>107</v>
      </c>
      <c r="G7" s="288">
        <v>94.222999999999999</v>
      </c>
      <c r="I7" s="288" t="s">
        <v>478</v>
      </c>
      <c r="K7" s="298">
        <v>1178</v>
      </c>
      <c r="L7" s="298">
        <v>165</v>
      </c>
      <c r="M7" s="298">
        <v>1303</v>
      </c>
      <c r="N7" s="298">
        <v>2421</v>
      </c>
      <c r="O7" s="298">
        <v>871</v>
      </c>
      <c r="P7" s="298">
        <v>1834</v>
      </c>
      <c r="Q7" s="298">
        <v>2461</v>
      </c>
      <c r="R7" s="298">
        <v>4573</v>
      </c>
      <c r="S7" s="298">
        <v>7498</v>
      </c>
      <c r="T7" s="298">
        <v>0</v>
      </c>
      <c r="U7" s="298">
        <v>0</v>
      </c>
      <c r="V7" s="298">
        <v>0</v>
      </c>
      <c r="X7" s="298">
        <f>ROUND($G7/($D7-$E7)*K7,0)</f>
        <v>1193</v>
      </c>
      <c r="Y7" s="298">
        <f t="shared" ref="Y7:AI8" si="0">ROUND($G7/($D7-$E7)*L7,0)</f>
        <v>167</v>
      </c>
      <c r="Z7" s="298">
        <f t="shared" si="0"/>
        <v>1319</v>
      </c>
      <c r="AA7" s="298">
        <f t="shared" si="0"/>
        <v>2451</v>
      </c>
      <c r="AB7" s="298">
        <f t="shared" si="0"/>
        <v>882</v>
      </c>
      <c r="AC7" s="298">
        <f t="shared" si="0"/>
        <v>1857</v>
      </c>
      <c r="AD7" s="298">
        <f t="shared" si="0"/>
        <v>2491</v>
      </c>
      <c r="AE7" s="298">
        <f t="shared" si="0"/>
        <v>4630</v>
      </c>
      <c r="AF7" s="298">
        <f t="shared" si="0"/>
        <v>7591</v>
      </c>
      <c r="AG7" s="298">
        <f t="shared" si="0"/>
        <v>0</v>
      </c>
      <c r="AH7" s="298">
        <f t="shared" si="0"/>
        <v>0</v>
      </c>
      <c r="AI7" s="298">
        <f t="shared" si="0"/>
        <v>0</v>
      </c>
      <c r="AK7" s="309"/>
      <c r="AM7" s="309"/>
    </row>
    <row r="8" spans="1:39" ht="15">
      <c r="A8" s="288">
        <v>2</v>
      </c>
      <c r="B8" s="288">
        <v>10079</v>
      </c>
      <c r="C8" s="295" t="s">
        <v>36</v>
      </c>
      <c r="D8" s="297">
        <v>105.779</v>
      </c>
      <c r="E8" s="288">
        <v>19.902999999999999</v>
      </c>
      <c r="F8" s="288" t="s">
        <v>107</v>
      </c>
      <c r="G8" s="288">
        <v>89.494</v>
      </c>
      <c r="K8" s="298">
        <v>24358</v>
      </c>
      <c r="L8" s="298">
        <v>24267</v>
      </c>
      <c r="M8" s="298">
        <v>34463</v>
      </c>
      <c r="N8" s="298">
        <v>31977</v>
      </c>
      <c r="O8" s="298">
        <v>46306</v>
      </c>
      <c r="P8" s="298">
        <v>26617</v>
      </c>
      <c r="Q8" s="298">
        <v>31289</v>
      </c>
      <c r="R8" s="298">
        <v>15900</v>
      </c>
      <c r="S8" s="298">
        <v>14452</v>
      </c>
      <c r="T8" s="298">
        <v>25674</v>
      </c>
      <c r="U8" s="298">
        <v>23118</v>
      </c>
      <c r="V8" s="298">
        <v>24846</v>
      </c>
      <c r="X8" s="298">
        <f>ROUND($G8/($D8-$E8)*K8,0)</f>
        <v>25384</v>
      </c>
      <c r="Y8" s="298">
        <f t="shared" si="0"/>
        <v>25289</v>
      </c>
      <c r="Z8" s="298">
        <f t="shared" si="0"/>
        <v>35915</v>
      </c>
      <c r="AA8" s="298">
        <f t="shared" si="0"/>
        <v>33324</v>
      </c>
      <c r="AB8" s="298">
        <f t="shared" si="0"/>
        <v>48257</v>
      </c>
      <c r="AC8" s="298">
        <f t="shared" si="0"/>
        <v>27738</v>
      </c>
      <c r="AD8" s="298">
        <f t="shared" si="0"/>
        <v>32607</v>
      </c>
      <c r="AE8" s="298">
        <f t="shared" si="0"/>
        <v>16570</v>
      </c>
      <c r="AF8" s="298">
        <f t="shared" si="0"/>
        <v>15061</v>
      </c>
      <c r="AG8" s="298">
        <f t="shared" si="0"/>
        <v>26756</v>
      </c>
      <c r="AH8" s="298">
        <f t="shared" si="0"/>
        <v>24092</v>
      </c>
      <c r="AI8" s="298">
        <f t="shared" si="0"/>
        <v>25893</v>
      </c>
      <c r="AK8" s="309"/>
      <c r="AM8" s="309"/>
    </row>
    <row r="9" spans="1:39" ht="15">
      <c r="C9" s="295"/>
      <c r="D9" s="297"/>
      <c r="X9" s="298"/>
      <c r="Y9" s="298"/>
      <c r="Z9" s="298"/>
      <c r="AA9" s="298"/>
      <c r="AB9" s="298"/>
      <c r="AC9" s="298"/>
      <c r="AD9" s="298"/>
      <c r="AE9" s="298"/>
      <c r="AF9" s="298"/>
      <c r="AG9" s="298"/>
      <c r="AH9" s="298"/>
      <c r="AI9" s="298"/>
      <c r="AK9" s="309"/>
      <c r="AM9" s="309"/>
    </row>
    <row r="10" spans="1:39" ht="15">
      <c r="A10" s="288">
        <v>3</v>
      </c>
      <c r="B10" s="288">
        <v>10057</v>
      </c>
      <c r="C10" s="295" t="s">
        <v>3</v>
      </c>
      <c r="D10" s="297">
        <v>21.382999999999999</v>
      </c>
      <c r="E10" s="288">
        <v>0.76900000000000002</v>
      </c>
      <c r="F10" s="288" t="s">
        <v>106</v>
      </c>
      <c r="G10" s="288">
        <v>21.382999999999999</v>
      </c>
      <c r="K10" s="298">
        <v>4980</v>
      </c>
      <c r="L10" s="298">
        <v>6219</v>
      </c>
      <c r="M10" s="298">
        <v>5658</v>
      </c>
      <c r="N10" s="298">
        <v>4911</v>
      </c>
      <c r="O10" s="298">
        <v>5414</v>
      </c>
      <c r="P10" s="298">
        <v>5075</v>
      </c>
      <c r="Q10" s="298">
        <v>4484</v>
      </c>
      <c r="R10" s="298">
        <v>5773</v>
      </c>
      <c r="S10" s="298">
        <v>7738</v>
      </c>
      <c r="T10" s="298">
        <v>9203</v>
      </c>
      <c r="U10" s="298">
        <v>8333</v>
      </c>
      <c r="V10" s="298">
        <v>5535</v>
      </c>
      <c r="X10" s="298">
        <f>ROUND($G10/($D10-$E10)*K10,0)</f>
        <v>5166</v>
      </c>
      <c r="Y10" s="298">
        <f t="shared" ref="Y10:Y11" si="1">ROUND($G10/($D10-$E10)*L10,0)</f>
        <v>6451</v>
      </c>
      <c r="Z10" s="298">
        <f t="shared" ref="Z10:Z11" si="2">ROUND($G10/($D10-$E10)*M10,0)</f>
        <v>5869</v>
      </c>
      <c r="AA10" s="298">
        <f t="shared" ref="AA10:AA11" si="3">ROUND($G10/($D10-$E10)*N10,0)</f>
        <v>5094</v>
      </c>
      <c r="AB10" s="298">
        <f t="shared" ref="AB10:AB11" si="4">ROUND($G10/($D10-$E10)*O10,0)</f>
        <v>5616</v>
      </c>
      <c r="AC10" s="298">
        <f t="shared" ref="AC10:AC11" si="5">ROUND($G10/($D10-$E10)*P10,0)</f>
        <v>5264</v>
      </c>
      <c r="AD10" s="298">
        <f t="shared" ref="AD10:AD11" si="6">ROUND($G10/($D10-$E10)*Q10,0)</f>
        <v>4651</v>
      </c>
      <c r="AE10" s="298">
        <f t="shared" ref="AE10:AE11" si="7">ROUND($G10/($D10-$E10)*R10,0)</f>
        <v>5988</v>
      </c>
      <c r="AF10" s="298">
        <f t="shared" ref="AF10:AF11" si="8">ROUND($G10/($D10-$E10)*S10,0)</f>
        <v>8027</v>
      </c>
      <c r="AG10" s="298">
        <f t="shared" ref="AG10:AG11" si="9">ROUND($G10/($D10-$E10)*T10,0)</f>
        <v>9546</v>
      </c>
      <c r="AH10" s="298">
        <f t="shared" ref="AH10:AH11" si="10">ROUND($G10/($D10-$E10)*U10,0)</f>
        <v>8644</v>
      </c>
      <c r="AI10" s="298">
        <f t="shared" ref="AI10:AI11" si="11">ROUND($G10/($D10-$E10)*V10,0)</f>
        <v>5741</v>
      </c>
      <c r="AK10" s="309"/>
      <c r="AM10" s="309"/>
    </row>
    <row r="11" spans="1:39" ht="15">
      <c r="A11" s="288">
        <v>4</v>
      </c>
      <c r="B11" s="288">
        <v>10015</v>
      </c>
      <c r="C11" s="295" t="s">
        <v>4</v>
      </c>
      <c r="D11" s="297">
        <v>0.61</v>
      </c>
      <c r="E11" s="288">
        <v>2.8000000000000001E-2</v>
      </c>
      <c r="F11" s="288" t="s">
        <v>106</v>
      </c>
      <c r="G11" s="288">
        <v>0.58199999999999996</v>
      </c>
      <c r="K11" s="298">
        <v>914</v>
      </c>
      <c r="L11" s="298">
        <v>1084</v>
      </c>
      <c r="M11" s="298">
        <v>942</v>
      </c>
      <c r="N11" s="298">
        <v>875</v>
      </c>
      <c r="O11" s="298">
        <v>846</v>
      </c>
      <c r="P11" s="298">
        <v>763</v>
      </c>
      <c r="Q11" s="298">
        <v>617</v>
      </c>
      <c r="R11" s="298">
        <v>897</v>
      </c>
      <c r="S11" s="298">
        <v>1271</v>
      </c>
      <c r="T11" s="298">
        <v>1015</v>
      </c>
      <c r="U11" s="298">
        <v>1404</v>
      </c>
      <c r="V11" s="298">
        <v>1037</v>
      </c>
      <c r="X11" s="298">
        <f>ROUND($G11/($D11-$E11)*K11,0)</f>
        <v>914</v>
      </c>
      <c r="Y11" s="298">
        <f t="shared" si="1"/>
        <v>1084</v>
      </c>
      <c r="Z11" s="298">
        <f t="shared" si="2"/>
        <v>942</v>
      </c>
      <c r="AA11" s="298">
        <f t="shared" si="3"/>
        <v>875</v>
      </c>
      <c r="AB11" s="298">
        <f t="shared" si="4"/>
        <v>846</v>
      </c>
      <c r="AC11" s="298">
        <f t="shared" si="5"/>
        <v>763</v>
      </c>
      <c r="AD11" s="298">
        <f t="shared" si="6"/>
        <v>617</v>
      </c>
      <c r="AE11" s="298">
        <f t="shared" si="7"/>
        <v>897</v>
      </c>
      <c r="AF11" s="298">
        <f t="shared" si="8"/>
        <v>1271</v>
      </c>
      <c r="AG11" s="298">
        <f t="shared" si="9"/>
        <v>1015</v>
      </c>
      <c r="AH11" s="298">
        <f t="shared" si="10"/>
        <v>1404</v>
      </c>
      <c r="AI11" s="298">
        <f t="shared" si="11"/>
        <v>1037</v>
      </c>
      <c r="AK11" s="309"/>
      <c r="AM11" s="309"/>
    </row>
    <row r="12" spans="1:39" ht="15">
      <c r="A12" s="288">
        <v>5</v>
      </c>
      <c r="B12" s="288">
        <v>10029</v>
      </c>
      <c r="C12" s="295" t="s">
        <v>6</v>
      </c>
      <c r="D12" s="297">
        <v>17.879000000000001</v>
      </c>
      <c r="E12" s="288">
        <v>1.2629999999999999</v>
      </c>
      <c r="F12" s="288" t="s">
        <v>106</v>
      </c>
      <c r="G12" s="288">
        <v>17.879000000000001</v>
      </c>
      <c r="K12" s="298">
        <v>5463</v>
      </c>
      <c r="L12" s="298">
        <v>5327</v>
      </c>
      <c r="M12" s="298">
        <v>6538</v>
      </c>
      <c r="N12" s="298">
        <v>5053</v>
      </c>
      <c r="O12" s="298">
        <v>5859</v>
      </c>
      <c r="P12" s="298">
        <v>4899</v>
      </c>
      <c r="Q12" s="298">
        <v>6019</v>
      </c>
      <c r="R12" s="298">
        <v>4402</v>
      </c>
      <c r="S12" s="298">
        <v>2681</v>
      </c>
      <c r="T12" s="298">
        <v>2734</v>
      </c>
      <c r="U12" s="298">
        <v>1745</v>
      </c>
      <c r="V12" s="298">
        <v>3656</v>
      </c>
      <c r="X12" s="298">
        <f t="shared" ref="X12:X47" si="12">ROUND($G12/($D12-$E12)*K12,0)</f>
        <v>5878</v>
      </c>
      <c r="Y12" s="298">
        <f t="shared" ref="Y12:Y47" si="13">ROUND($G12/($D12-$E12)*L12,0)</f>
        <v>5732</v>
      </c>
      <c r="Z12" s="298">
        <f t="shared" ref="Z12:Z47" si="14">ROUND($G12/($D12-$E12)*M12,0)</f>
        <v>7035</v>
      </c>
      <c r="AA12" s="298">
        <f t="shared" ref="AA12:AA47" si="15">ROUND($G12/($D12-$E12)*N12,0)</f>
        <v>5437</v>
      </c>
      <c r="AB12" s="298">
        <f t="shared" ref="AB12:AB47" si="16">ROUND($G12/($D12-$E12)*O12,0)</f>
        <v>6304</v>
      </c>
      <c r="AC12" s="298">
        <f t="shared" ref="AC12:AC47" si="17">ROUND($G12/($D12-$E12)*P12,0)</f>
        <v>5271</v>
      </c>
      <c r="AD12" s="298">
        <f t="shared" ref="AD12:AD47" si="18">ROUND($G12/($D12-$E12)*Q12,0)</f>
        <v>6477</v>
      </c>
      <c r="AE12" s="298">
        <f t="shared" ref="AE12:AE47" si="19">ROUND($G12/($D12-$E12)*R12,0)</f>
        <v>4737</v>
      </c>
      <c r="AF12" s="298">
        <f t="shared" ref="AF12:AF47" si="20">ROUND($G12/($D12-$E12)*S12,0)</f>
        <v>2885</v>
      </c>
      <c r="AG12" s="298">
        <f t="shared" ref="AG12:AG47" si="21">ROUND($G12/($D12-$E12)*T12,0)</f>
        <v>2942</v>
      </c>
      <c r="AH12" s="298">
        <f t="shared" ref="AH12:AH47" si="22">ROUND($G12/($D12-$E12)*U12,0)</f>
        <v>1878</v>
      </c>
      <c r="AI12" s="298">
        <f t="shared" ref="AI12:AI47" si="23">ROUND($G12/($D12-$E12)*V12,0)</f>
        <v>3934</v>
      </c>
      <c r="AK12" s="309"/>
      <c r="AM12" s="309"/>
    </row>
    <row r="13" spans="1:39" ht="15">
      <c r="A13" s="288">
        <v>6</v>
      </c>
      <c r="B13" s="288">
        <v>10065</v>
      </c>
      <c r="C13" s="295" t="s">
        <v>7</v>
      </c>
      <c r="D13" s="297">
        <v>2.6379999999999999</v>
      </c>
      <c r="E13" s="288">
        <v>0.22500000000000001</v>
      </c>
      <c r="F13" s="288" t="s">
        <v>106</v>
      </c>
      <c r="G13" s="288">
        <v>2.4129999999999998</v>
      </c>
      <c r="K13" s="298">
        <v>443</v>
      </c>
      <c r="L13" s="298">
        <v>640</v>
      </c>
      <c r="M13" s="298">
        <v>446</v>
      </c>
      <c r="N13" s="298">
        <v>639</v>
      </c>
      <c r="O13" s="298">
        <v>606</v>
      </c>
      <c r="P13" s="298">
        <v>463</v>
      </c>
      <c r="Q13" s="298">
        <v>395</v>
      </c>
      <c r="R13" s="298">
        <v>267</v>
      </c>
      <c r="S13" s="298">
        <v>162</v>
      </c>
      <c r="T13" s="298">
        <v>323</v>
      </c>
      <c r="U13" s="298">
        <v>194</v>
      </c>
      <c r="V13" s="298">
        <v>129</v>
      </c>
      <c r="X13" s="298">
        <f t="shared" si="12"/>
        <v>443</v>
      </c>
      <c r="Y13" s="298">
        <f t="shared" si="13"/>
        <v>640</v>
      </c>
      <c r="Z13" s="298">
        <f t="shared" si="14"/>
        <v>446</v>
      </c>
      <c r="AA13" s="298">
        <f t="shared" si="15"/>
        <v>639</v>
      </c>
      <c r="AB13" s="298">
        <f t="shared" si="16"/>
        <v>606</v>
      </c>
      <c r="AC13" s="298">
        <f t="shared" si="17"/>
        <v>463</v>
      </c>
      <c r="AD13" s="298">
        <f t="shared" si="18"/>
        <v>395</v>
      </c>
      <c r="AE13" s="298">
        <f t="shared" si="19"/>
        <v>267</v>
      </c>
      <c r="AF13" s="298">
        <f t="shared" si="20"/>
        <v>162</v>
      </c>
      <c r="AG13" s="298">
        <f t="shared" si="21"/>
        <v>323</v>
      </c>
      <c r="AH13" s="298">
        <f t="shared" si="22"/>
        <v>194</v>
      </c>
      <c r="AI13" s="298">
        <f t="shared" si="23"/>
        <v>129</v>
      </c>
      <c r="AK13" s="309"/>
      <c r="AM13" s="309"/>
    </row>
    <row r="14" spans="1:39" ht="15">
      <c r="A14" s="288">
        <v>7</v>
      </c>
      <c r="B14" s="288">
        <v>10068</v>
      </c>
      <c r="C14" s="295" t="s">
        <v>8</v>
      </c>
      <c r="D14" s="297">
        <v>2.887</v>
      </c>
      <c r="E14" s="288">
        <v>7.5999999999999998E-2</v>
      </c>
      <c r="F14" s="288" t="s">
        <v>106</v>
      </c>
      <c r="G14" s="288">
        <v>2.8109999999999999</v>
      </c>
      <c r="K14" s="298">
        <v>1196</v>
      </c>
      <c r="L14" s="298">
        <v>609</v>
      </c>
      <c r="M14" s="298">
        <v>396</v>
      </c>
      <c r="N14" s="298">
        <v>546</v>
      </c>
      <c r="O14" s="298">
        <v>480</v>
      </c>
      <c r="P14" s="298">
        <v>482</v>
      </c>
      <c r="Q14" s="298">
        <v>500</v>
      </c>
      <c r="R14" s="298">
        <v>338</v>
      </c>
      <c r="S14" s="298">
        <v>493</v>
      </c>
      <c r="T14" s="298">
        <v>449</v>
      </c>
      <c r="U14" s="298">
        <v>414</v>
      </c>
      <c r="V14" s="298">
        <v>335</v>
      </c>
      <c r="X14" s="298">
        <f t="shared" si="12"/>
        <v>1196</v>
      </c>
      <c r="Y14" s="298">
        <f t="shared" si="13"/>
        <v>609</v>
      </c>
      <c r="Z14" s="298">
        <f t="shared" si="14"/>
        <v>396</v>
      </c>
      <c r="AA14" s="298">
        <f t="shared" si="15"/>
        <v>546</v>
      </c>
      <c r="AB14" s="298">
        <f t="shared" si="16"/>
        <v>480</v>
      </c>
      <c r="AC14" s="298">
        <f t="shared" si="17"/>
        <v>482</v>
      </c>
      <c r="AD14" s="298">
        <f t="shared" si="18"/>
        <v>500</v>
      </c>
      <c r="AE14" s="298">
        <f t="shared" si="19"/>
        <v>338</v>
      </c>
      <c r="AF14" s="298">
        <f t="shared" si="20"/>
        <v>493</v>
      </c>
      <c r="AG14" s="298">
        <f t="shared" si="21"/>
        <v>449</v>
      </c>
      <c r="AH14" s="298">
        <f t="shared" si="22"/>
        <v>414</v>
      </c>
      <c r="AI14" s="298">
        <f t="shared" si="23"/>
        <v>335</v>
      </c>
      <c r="AK14" s="309"/>
      <c r="AM14" s="309"/>
    </row>
    <row r="15" spans="1:39" ht="15">
      <c r="A15" s="288">
        <v>8</v>
      </c>
      <c r="B15" s="288">
        <v>10103</v>
      </c>
      <c r="C15" s="295" t="s">
        <v>479</v>
      </c>
      <c r="D15" s="297">
        <v>323.245</v>
      </c>
      <c r="E15" s="288">
        <v>9.5329999999999995</v>
      </c>
      <c r="F15" s="288" t="s">
        <v>106</v>
      </c>
      <c r="G15" s="288">
        <v>323.245</v>
      </c>
      <c r="I15" s="288" t="s">
        <v>478</v>
      </c>
      <c r="K15" s="298">
        <v>143138</v>
      </c>
      <c r="L15" s="298">
        <v>172267</v>
      </c>
      <c r="M15" s="298">
        <v>133986</v>
      </c>
      <c r="N15" s="298">
        <v>162731</v>
      </c>
      <c r="O15" s="298">
        <v>176523</v>
      </c>
      <c r="P15" s="298">
        <v>121331</v>
      </c>
      <c r="Q15" s="298">
        <v>138100</v>
      </c>
      <c r="R15" s="298">
        <v>86182</v>
      </c>
      <c r="S15" s="298">
        <v>117412</v>
      </c>
      <c r="T15" s="298">
        <v>159374</v>
      </c>
      <c r="U15" s="298">
        <v>130114</v>
      </c>
      <c r="V15" s="298">
        <v>77155</v>
      </c>
      <c r="X15" s="298">
        <f t="shared" si="12"/>
        <v>147488</v>
      </c>
      <c r="Y15" s="298">
        <f t="shared" si="13"/>
        <v>177502</v>
      </c>
      <c r="Z15" s="298">
        <f t="shared" si="14"/>
        <v>138058</v>
      </c>
      <c r="AA15" s="298">
        <f t="shared" si="15"/>
        <v>167676</v>
      </c>
      <c r="AB15" s="298">
        <f t="shared" si="16"/>
        <v>181887</v>
      </c>
      <c r="AC15" s="298">
        <f t="shared" si="17"/>
        <v>125018</v>
      </c>
      <c r="AD15" s="298">
        <f t="shared" si="18"/>
        <v>142297</v>
      </c>
      <c r="AE15" s="298">
        <f t="shared" si="19"/>
        <v>88801</v>
      </c>
      <c r="AF15" s="298">
        <f t="shared" si="20"/>
        <v>120980</v>
      </c>
      <c r="AG15" s="298">
        <f t="shared" si="21"/>
        <v>164217</v>
      </c>
      <c r="AH15" s="298">
        <f t="shared" si="22"/>
        <v>134068</v>
      </c>
      <c r="AI15" s="298">
        <f t="shared" si="23"/>
        <v>79500</v>
      </c>
      <c r="AK15" s="309"/>
      <c r="AM15" s="309"/>
    </row>
    <row r="16" spans="1:39" ht="15">
      <c r="A16" s="288">
        <v>9</v>
      </c>
      <c r="B16" s="288">
        <v>10106</v>
      </c>
      <c r="C16" s="295" t="s">
        <v>11</v>
      </c>
      <c r="D16" s="297">
        <v>24.523</v>
      </c>
      <c r="E16" s="288">
        <v>1.6579999999999999</v>
      </c>
      <c r="F16" s="288" t="s">
        <v>106</v>
      </c>
      <c r="G16" s="288">
        <v>24.234999999999999</v>
      </c>
      <c r="K16" s="298">
        <v>7710</v>
      </c>
      <c r="L16" s="298">
        <v>7451</v>
      </c>
      <c r="M16" s="298">
        <v>7658</v>
      </c>
      <c r="N16" s="298">
        <v>7463</v>
      </c>
      <c r="O16" s="298">
        <v>9296</v>
      </c>
      <c r="P16" s="298">
        <v>7715</v>
      </c>
      <c r="Q16" s="298">
        <v>6811</v>
      </c>
      <c r="R16" s="298">
        <v>5719</v>
      </c>
      <c r="S16" s="298">
        <v>3021</v>
      </c>
      <c r="T16" s="298">
        <v>2979</v>
      </c>
      <c r="U16" s="298">
        <v>3227</v>
      </c>
      <c r="V16" s="298">
        <v>4174</v>
      </c>
      <c r="X16" s="298">
        <f t="shared" si="12"/>
        <v>8172</v>
      </c>
      <c r="Y16" s="298">
        <f t="shared" si="13"/>
        <v>7897</v>
      </c>
      <c r="Z16" s="298">
        <f t="shared" si="14"/>
        <v>8117</v>
      </c>
      <c r="AA16" s="298">
        <f t="shared" si="15"/>
        <v>7910</v>
      </c>
      <c r="AB16" s="298">
        <f t="shared" si="16"/>
        <v>9853</v>
      </c>
      <c r="AC16" s="298">
        <f t="shared" si="17"/>
        <v>8177</v>
      </c>
      <c r="AD16" s="298">
        <f t="shared" si="18"/>
        <v>7219</v>
      </c>
      <c r="AE16" s="298">
        <f t="shared" si="19"/>
        <v>6062</v>
      </c>
      <c r="AF16" s="298">
        <f t="shared" si="20"/>
        <v>3202</v>
      </c>
      <c r="AG16" s="298">
        <f t="shared" si="21"/>
        <v>3157</v>
      </c>
      <c r="AH16" s="298">
        <f t="shared" si="22"/>
        <v>3420</v>
      </c>
      <c r="AI16" s="298">
        <f t="shared" si="23"/>
        <v>4424</v>
      </c>
      <c r="AK16" s="309"/>
      <c r="AM16" s="309"/>
    </row>
    <row r="17" spans="1:39" ht="15">
      <c r="A17" s="288">
        <v>10</v>
      </c>
      <c r="B17" s="288">
        <v>10112</v>
      </c>
      <c r="C17" s="295" t="s">
        <v>12</v>
      </c>
      <c r="D17" s="297">
        <v>61.253999999999998</v>
      </c>
      <c r="E17" s="288">
        <v>5.5949999999999998</v>
      </c>
      <c r="F17" s="288" t="s">
        <v>106</v>
      </c>
      <c r="G17" s="288">
        <v>59.119</v>
      </c>
      <c r="K17" s="298">
        <v>7518</v>
      </c>
      <c r="L17" s="298">
        <v>11507</v>
      </c>
      <c r="M17" s="298">
        <v>6841</v>
      </c>
      <c r="N17" s="298">
        <v>7745</v>
      </c>
      <c r="O17" s="298">
        <v>12279</v>
      </c>
      <c r="P17" s="298">
        <v>15232</v>
      </c>
      <c r="Q17" s="298">
        <v>8247</v>
      </c>
      <c r="R17" s="298">
        <v>4324</v>
      </c>
      <c r="S17" s="298">
        <v>5531</v>
      </c>
      <c r="T17" s="298">
        <v>7349</v>
      </c>
      <c r="U17" s="298">
        <v>4744</v>
      </c>
      <c r="V17" s="298">
        <v>3493</v>
      </c>
      <c r="X17" s="298">
        <f t="shared" si="12"/>
        <v>7985</v>
      </c>
      <c r="Y17" s="298">
        <f t="shared" si="13"/>
        <v>12222</v>
      </c>
      <c r="Z17" s="298">
        <f t="shared" si="14"/>
        <v>7266</v>
      </c>
      <c r="AA17" s="298">
        <f t="shared" si="15"/>
        <v>8226</v>
      </c>
      <c r="AB17" s="298">
        <f t="shared" si="16"/>
        <v>13042</v>
      </c>
      <c r="AC17" s="298">
        <f t="shared" si="17"/>
        <v>16179</v>
      </c>
      <c r="AD17" s="298">
        <f t="shared" si="18"/>
        <v>8760</v>
      </c>
      <c r="AE17" s="298">
        <f t="shared" si="19"/>
        <v>4593</v>
      </c>
      <c r="AF17" s="298">
        <f t="shared" si="20"/>
        <v>5875</v>
      </c>
      <c r="AG17" s="298">
        <f t="shared" si="21"/>
        <v>7806</v>
      </c>
      <c r="AH17" s="298">
        <f t="shared" si="22"/>
        <v>5039</v>
      </c>
      <c r="AI17" s="298">
        <f t="shared" si="23"/>
        <v>3710</v>
      </c>
      <c r="AK17" s="309"/>
      <c r="AM17" s="309"/>
    </row>
    <row r="18" spans="1:39" ht="15">
      <c r="A18" s="288">
        <v>11</v>
      </c>
      <c r="B18" s="288">
        <v>10121</v>
      </c>
      <c r="C18" s="295" t="s">
        <v>13</v>
      </c>
      <c r="D18" s="297">
        <v>41.484999999999999</v>
      </c>
      <c r="E18" s="288">
        <v>9.5000000000000001E-2</v>
      </c>
      <c r="F18" s="288" t="s">
        <v>106</v>
      </c>
      <c r="G18" s="288">
        <v>41.484999999999999</v>
      </c>
      <c r="K18" s="298">
        <v>17621</v>
      </c>
      <c r="L18" s="298">
        <v>21923</v>
      </c>
      <c r="M18" s="298">
        <v>17514</v>
      </c>
      <c r="N18" s="298">
        <v>16184</v>
      </c>
      <c r="O18" s="298">
        <v>22440</v>
      </c>
      <c r="P18" s="298">
        <v>17474</v>
      </c>
      <c r="Q18" s="298">
        <v>23717</v>
      </c>
      <c r="R18" s="298">
        <v>12428</v>
      </c>
      <c r="S18" s="298">
        <v>6704</v>
      </c>
      <c r="T18" s="298">
        <v>2063</v>
      </c>
      <c r="U18" s="298">
        <v>4455</v>
      </c>
      <c r="V18" s="298">
        <v>8539</v>
      </c>
      <c r="X18" s="298">
        <f t="shared" si="12"/>
        <v>17661</v>
      </c>
      <c r="Y18" s="298">
        <f t="shared" si="13"/>
        <v>21973</v>
      </c>
      <c r="Z18" s="298">
        <f t="shared" si="14"/>
        <v>17554</v>
      </c>
      <c r="AA18" s="298">
        <f t="shared" si="15"/>
        <v>16221</v>
      </c>
      <c r="AB18" s="298">
        <f t="shared" si="16"/>
        <v>22492</v>
      </c>
      <c r="AC18" s="298">
        <f t="shared" si="17"/>
        <v>17514</v>
      </c>
      <c r="AD18" s="298">
        <f t="shared" si="18"/>
        <v>23771</v>
      </c>
      <c r="AE18" s="298">
        <f t="shared" si="19"/>
        <v>12457</v>
      </c>
      <c r="AF18" s="298">
        <f t="shared" si="20"/>
        <v>6719</v>
      </c>
      <c r="AG18" s="298">
        <f t="shared" si="21"/>
        <v>2068</v>
      </c>
      <c r="AH18" s="298">
        <f t="shared" si="22"/>
        <v>4465</v>
      </c>
      <c r="AI18" s="298">
        <f t="shared" si="23"/>
        <v>8559</v>
      </c>
      <c r="AK18" s="309"/>
      <c r="AM18" s="309"/>
    </row>
    <row r="19" spans="1:39" ht="15">
      <c r="A19" s="288">
        <v>12</v>
      </c>
      <c r="B19" s="288">
        <v>10378</v>
      </c>
      <c r="C19" s="295" t="s">
        <v>14</v>
      </c>
      <c r="D19" s="297">
        <v>2.0550000000000002</v>
      </c>
      <c r="E19" s="288">
        <v>0.03</v>
      </c>
      <c r="F19" s="288" t="s">
        <v>106</v>
      </c>
      <c r="G19" s="288">
        <v>2.0510000000000002</v>
      </c>
      <c r="K19" s="298">
        <v>982</v>
      </c>
      <c r="L19" s="298">
        <v>1178</v>
      </c>
      <c r="M19" s="298">
        <v>522</v>
      </c>
      <c r="N19" s="298">
        <v>773</v>
      </c>
      <c r="O19" s="298">
        <v>1000</v>
      </c>
      <c r="P19" s="298">
        <v>953</v>
      </c>
      <c r="Q19" s="298">
        <v>848</v>
      </c>
      <c r="R19" s="298">
        <v>426</v>
      </c>
      <c r="S19" s="298">
        <v>343</v>
      </c>
      <c r="T19" s="298">
        <v>337</v>
      </c>
      <c r="U19" s="298">
        <v>377</v>
      </c>
      <c r="V19" s="298">
        <v>189</v>
      </c>
      <c r="X19" s="298">
        <f t="shared" si="12"/>
        <v>995</v>
      </c>
      <c r="Y19" s="298">
        <f t="shared" si="13"/>
        <v>1193</v>
      </c>
      <c r="Z19" s="298">
        <f t="shared" si="14"/>
        <v>529</v>
      </c>
      <c r="AA19" s="298">
        <f t="shared" si="15"/>
        <v>783</v>
      </c>
      <c r="AB19" s="298">
        <f t="shared" si="16"/>
        <v>1013</v>
      </c>
      <c r="AC19" s="298">
        <f t="shared" si="17"/>
        <v>965</v>
      </c>
      <c r="AD19" s="298">
        <f t="shared" si="18"/>
        <v>859</v>
      </c>
      <c r="AE19" s="298">
        <f t="shared" si="19"/>
        <v>431</v>
      </c>
      <c r="AF19" s="298">
        <f t="shared" si="20"/>
        <v>347</v>
      </c>
      <c r="AG19" s="298">
        <f t="shared" si="21"/>
        <v>341</v>
      </c>
      <c r="AH19" s="298">
        <f t="shared" si="22"/>
        <v>382</v>
      </c>
      <c r="AI19" s="298">
        <f t="shared" si="23"/>
        <v>191</v>
      </c>
      <c r="AK19" s="309"/>
      <c r="AM19" s="309"/>
    </row>
    <row r="20" spans="1:39" ht="15">
      <c r="A20" s="288">
        <v>13</v>
      </c>
      <c r="B20" s="288">
        <v>10070</v>
      </c>
      <c r="C20" s="295" t="s">
        <v>16</v>
      </c>
      <c r="D20" s="297">
        <v>0.36399999999999999</v>
      </c>
      <c r="E20" s="288">
        <v>7.0000000000000001E-3</v>
      </c>
      <c r="F20" s="288" t="s">
        <v>106</v>
      </c>
      <c r="G20" s="288">
        <v>0.36399999999999999</v>
      </c>
      <c r="K20" s="298">
        <v>128</v>
      </c>
      <c r="L20" s="298">
        <v>159</v>
      </c>
      <c r="M20" s="298">
        <v>116</v>
      </c>
      <c r="N20" s="298">
        <v>118</v>
      </c>
      <c r="O20" s="298">
        <v>150</v>
      </c>
      <c r="P20" s="298">
        <v>134</v>
      </c>
      <c r="Q20" s="298">
        <v>145</v>
      </c>
      <c r="R20" s="298">
        <v>150</v>
      </c>
      <c r="S20" s="298">
        <v>99</v>
      </c>
      <c r="T20" s="298">
        <v>108</v>
      </c>
      <c r="U20" s="298">
        <v>111</v>
      </c>
      <c r="V20" s="298">
        <v>104</v>
      </c>
      <c r="X20" s="298">
        <f t="shared" si="12"/>
        <v>131</v>
      </c>
      <c r="Y20" s="298">
        <f t="shared" si="13"/>
        <v>162</v>
      </c>
      <c r="Z20" s="298">
        <f t="shared" si="14"/>
        <v>118</v>
      </c>
      <c r="AA20" s="298">
        <f t="shared" si="15"/>
        <v>120</v>
      </c>
      <c r="AB20" s="298">
        <f t="shared" si="16"/>
        <v>153</v>
      </c>
      <c r="AC20" s="298">
        <f t="shared" si="17"/>
        <v>137</v>
      </c>
      <c r="AD20" s="298">
        <f t="shared" si="18"/>
        <v>148</v>
      </c>
      <c r="AE20" s="298">
        <f t="shared" si="19"/>
        <v>153</v>
      </c>
      <c r="AF20" s="298">
        <f t="shared" si="20"/>
        <v>101</v>
      </c>
      <c r="AG20" s="298">
        <f t="shared" si="21"/>
        <v>110</v>
      </c>
      <c r="AH20" s="298">
        <f t="shared" si="22"/>
        <v>113</v>
      </c>
      <c r="AI20" s="298">
        <f t="shared" si="23"/>
        <v>106</v>
      </c>
      <c r="AK20" s="309"/>
      <c r="AM20" s="309"/>
    </row>
    <row r="21" spans="1:39" ht="15">
      <c r="A21" s="288">
        <v>14</v>
      </c>
      <c r="B21" s="288">
        <v>10136</v>
      </c>
      <c r="C21" s="295" t="s">
        <v>17</v>
      </c>
      <c r="D21" s="297">
        <v>19.291</v>
      </c>
      <c r="E21" s="288">
        <v>0.625</v>
      </c>
      <c r="F21" s="288" t="s">
        <v>106</v>
      </c>
      <c r="G21" s="288">
        <v>18.814</v>
      </c>
      <c r="K21" s="298">
        <v>8178</v>
      </c>
      <c r="L21" s="298">
        <v>6914</v>
      </c>
      <c r="M21" s="298">
        <v>6785</v>
      </c>
      <c r="N21" s="298">
        <v>6446</v>
      </c>
      <c r="O21" s="298">
        <v>10550</v>
      </c>
      <c r="P21" s="298">
        <v>9109</v>
      </c>
      <c r="Q21" s="298">
        <v>8628</v>
      </c>
      <c r="R21" s="298">
        <v>6231</v>
      </c>
      <c r="S21" s="298">
        <v>4100</v>
      </c>
      <c r="T21" s="298">
        <v>4404</v>
      </c>
      <c r="U21" s="298">
        <v>3224</v>
      </c>
      <c r="V21" s="298">
        <v>3788</v>
      </c>
      <c r="X21" s="298">
        <f t="shared" si="12"/>
        <v>8243</v>
      </c>
      <c r="Y21" s="298">
        <f t="shared" si="13"/>
        <v>6969</v>
      </c>
      <c r="Z21" s="298">
        <f t="shared" si="14"/>
        <v>6839</v>
      </c>
      <c r="AA21" s="298">
        <f t="shared" si="15"/>
        <v>6497</v>
      </c>
      <c r="AB21" s="298">
        <f t="shared" si="16"/>
        <v>10634</v>
      </c>
      <c r="AC21" s="298">
        <f t="shared" si="17"/>
        <v>9181</v>
      </c>
      <c r="AD21" s="298">
        <f t="shared" si="18"/>
        <v>8696</v>
      </c>
      <c r="AE21" s="298">
        <f t="shared" si="19"/>
        <v>6280</v>
      </c>
      <c r="AF21" s="298">
        <f t="shared" si="20"/>
        <v>4133</v>
      </c>
      <c r="AG21" s="298">
        <f t="shared" si="21"/>
        <v>4439</v>
      </c>
      <c r="AH21" s="298">
        <f t="shared" si="22"/>
        <v>3250</v>
      </c>
      <c r="AI21" s="298">
        <f t="shared" si="23"/>
        <v>3818</v>
      </c>
      <c r="AK21" s="309"/>
      <c r="AM21" s="309"/>
    </row>
    <row r="22" spans="1:39" ht="15">
      <c r="A22" s="288">
        <v>15</v>
      </c>
      <c r="B22" s="288">
        <v>10071</v>
      </c>
      <c r="C22" s="295" t="s">
        <v>18</v>
      </c>
      <c r="D22" s="297">
        <v>2.4790000000000001</v>
      </c>
      <c r="E22" s="288">
        <v>0.59</v>
      </c>
      <c r="F22" s="288" t="s">
        <v>106</v>
      </c>
      <c r="G22" s="288">
        <v>1.9430000000000001</v>
      </c>
      <c r="K22" s="298">
        <v>826</v>
      </c>
      <c r="L22" s="298">
        <v>852</v>
      </c>
      <c r="M22" s="298">
        <v>627</v>
      </c>
      <c r="N22" s="298">
        <v>658</v>
      </c>
      <c r="O22" s="298">
        <v>881</v>
      </c>
      <c r="P22" s="298">
        <v>668</v>
      </c>
      <c r="Q22" s="298">
        <v>668</v>
      </c>
      <c r="R22" s="298">
        <v>682</v>
      </c>
      <c r="S22" s="298">
        <v>371</v>
      </c>
      <c r="T22" s="298">
        <v>395</v>
      </c>
      <c r="U22" s="298">
        <v>295</v>
      </c>
      <c r="V22" s="298">
        <v>503</v>
      </c>
      <c r="X22" s="298">
        <f t="shared" si="12"/>
        <v>850</v>
      </c>
      <c r="Y22" s="298">
        <f t="shared" si="13"/>
        <v>876</v>
      </c>
      <c r="Z22" s="298">
        <f t="shared" si="14"/>
        <v>645</v>
      </c>
      <c r="AA22" s="298">
        <f t="shared" si="15"/>
        <v>677</v>
      </c>
      <c r="AB22" s="298">
        <f t="shared" si="16"/>
        <v>906</v>
      </c>
      <c r="AC22" s="298">
        <f t="shared" si="17"/>
        <v>687</v>
      </c>
      <c r="AD22" s="298">
        <f t="shared" si="18"/>
        <v>687</v>
      </c>
      <c r="AE22" s="298">
        <f t="shared" si="19"/>
        <v>701</v>
      </c>
      <c r="AF22" s="298">
        <f t="shared" si="20"/>
        <v>382</v>
      </c>
      <c r="AG22" s="298">
        <f t="shared" si="21"/>
        <v>406</v>
      </c>
      <c r="AH22" s="298">
        <f t="shared" si="22"/>
        <v>303</v>
      </c>
      <c r="AI22" s="298">
        <f t="shared" si="23"/>
        <v>517</v>
      </c>
      <c r="AK22" s="309"/>
      <c r="AM22" s="309"/>
    </row>
    <row r="23" spans="1:39" ht="15">
      <c r="A23" s="288">
        <v>16</v>
      </c>
      <c r="B23" s="288">
        <v>10072</v>
      </c>
      <c r="C23" s="295" t="s">
        <v>19</v>
      </c>
      <c r="D23" s="297">
        <v>24.34</v>
      </c>
      <c r="E23" s="288">
        <v>0.129</v>
      </c>
      <c r="F23" s="288" t="s">
        <v>106</v>
      </c>
      <c r="G23" s="288">
        <v>24.34</v>
      </c>
      <c r="K23" s="298">
        <v>4567</v>
      </c>
      <c r="L23" s="298">
        <v>5809</v>
      </c>
      <c r="M23" s="298">
        <v>3308</v>
      </c>
      <c r="N23" s="298">
        <v>3875</v>
      </c>
      <c r="O23" s="298">
        <v>3772</v>
      </c>
      <c r="P23" s="298">
        <v>4110</v>
      </c>
      <c r="Q23" s="298">
        <v>3157</v>
      </c>
      <c r="R23" s="298">
        <v>3020</v>
      </c>
      <c r="S23" s="298">
        <v>5239</v>
      </c>
      <c r="T23" s="298">
        <v>7405</v>
      </c>
      <c r="U23" s="298">
        <v>4542</v>
      </c>
      <c r="V23" s="298">
        <v>3548</v>
      </c>
      <c r="X23" s="298">
        <f t="shared" si="12"/>
        <v>4591</v>
      </c>
      <c r="Y23" s="298">
        <f t="shared" si="13"/>
        <v>5840</v>
      </c>
      <c r="Z23" s="298">
        <f t="shared" si="14"/>
        <v>3326</v>
      </c>
      <c r="AA23" s="298">
        <f t="shared" si="15"/>
        <v>3896</v>
      </c>
      <c r="AB23" s="298">
        <f t="shared" si="16"/>
        <v>3792</v>
      </c>
      <c r="AC23" s="298">
        <f t="shared" si="17"/>
        <v>4132</v>
      </c>
      <c r="AD23" s="298">
        <f t="shared" si="18"/>
        <v>3174</v>
      </c>
      <c r="AE23" s="298">
        <f t="shared" si="19"/>
        <v>3036</v>
      </c>
      <c r="AF23" s="298">
        <f t="shared" si="20"/>
        <v>5267</v>
      </c>
      <c r="AG23" s="298">
        <f t="shared" si="21"/>
        <v>7444</v>
      </c>
      <c r="AH23" s="298">
        <f t="shared" si="22"/>
        <v>4566</v>
      </c>
      <c r="AI23" s="298">
        <f t="shared" si="23"/>
        <v>3567</v>
      </c>
      <c r="AK23" s="309"/>
      <c r="AM23" s="309"/>
    </row>
    <row r="24" spans="1:39" ht="15">
      <c r="A24" s="288">
        <v>17</v>
      </c>
      <c r="B24" s="288">
        <v>10157</v>
      </c>
      <c r="C24" s="295" t="s">
        <v>20</v>
      </c>
      <c r="D24" s="297">
        <v>53.228000000000002</v>
      </c>
      <c r="E24" s="288">
        <v>2.5249999999999999</v>
      </c>
      <c r="F24" s="288" t="s">
        <v>106</v>
      </c>
      <c r="G24" s="288">
        <v>50.703000000000003</v>
      </c>
      <c r="I24" s="288" t="s">
        <v>478</v>
      </c>
      <c r="K24" s="298">
        <v>14395</v>
      </c>
      <c r="L24" s="298">
        <v>18848</v>
      </c>
      <c r="M24" s="298">
        <v>16533</v>
      </c>
      <c r="N24" s="298">
        <v>15973</v>
      </c>
      <c r="O24" s="298">
        <v>32912</v>
      </c>
      <c r="P24" s="298">
        <v>18765</v>
      </c>
      <c r="Q24" s="298">
        <v>23232</v>
      </c>
      <c r="R24" s="298">
        <v>23222</v>
      </c>
      <c r="S24" s="298">
        <v>5644</v>
      </c>
      <c r="T24" s="298">
        <v>8586</v>
      </c>
      <c r="U24" s="298">
        <v>4038</v>
      </c>
      <c r="V24" s="298">
        <v>8686</v>
      </c>
      <c r="X24" s="298">
        <f t="shared" si="12"/>
        <v>14395</v>
      </c>
      <c r="Y24" s="298">
        <f t="shared" si="13"/>
        <v>18848</v>
      </c>
      <c r="Z24" s="298">
        <f t="shared" si="14"/>
        <v>16533</v>
      </c>
      <c r="AA24" s="298">
        <f t="shared" si="15"/>
        <v>15973</v>
      </c>
      <c r="AB24" s="298">
        <f t="shared" si="16"/>
        <v>32912</v>
      </c>
      <c r="AC24" s="298">
        <f t="shared" si="17"/>
        <v>18765</v>
      </c>
      <c r="AD24" s="298">
        <f t="shared" si="18"/>
        <v>23232</v>
      </c>
      <c r="AE24" s="298">
        <f t="shared" si="19"/>
        <v>23222</v>
      </c>
      <c r="AF24" s="298">
        <f t="shared" si="20"/>
        <v>5644</v>
      </c>
      <c r="AG24" s="298">
        <f t="shared" si="21"/>
        <v>8586</v>
      </c>
      <c r="AH24" s="298">
        <f t="shared" si="22"/>
        <v>4038</v>
      </c>
      <c r="AI24" s="298">
        <f t="shared" si="23"/>
        <v>8686</v>
      </c>
      <c r="AK24" s="309"/>
      <c r="AM24" s="309"/>
    </row>
    <row r="25" spans="1:39" ht="15">
      <c r="A25" s="288">
        <v>18</v>
      </c>
      <c r="B25" s="288">
        <v>10158</v>
      </c>
      <c r="C25" s="295" t="s">
        <v>21</v>
      </c>
      <c r="D25" s="297">
        <v>2.91</v>
      </c>
      <c r="E25" s="288">
        <v>7.6999999999999999E-2</v>
      </c>
      <c r="F25" s="288" t="s">
        <v>106</v>
      </c>
      <c r="G25" s="288">
        <v>2.8330000000000002</v>
      </c>
      <c r="K25" s="298">
        <v>959</v>
      </c>
      <c r="L25" s="298">
        <v>1113</v>
      </c>
      <c r="M25" s="298">
        <v>538</v>
      </c>
      <c r="N25" s="298">
        <v>654</v>
      </c>
      <c r="O25" s="298">
        <v>991</v>
      </c>
      <c r="P25" s="298">
        <v>777</v>
      </c>
      <c r="Q25" s="298">
        <v>753</v>
      </c>
      <c r="R25" s="298">
        <v>314</v>
      </c>
      <c r="S25" s="298">
        <v>412</v>
      </c>
      <c r="T25" s="298">
        <v>373</v>
      </c>
      <c r="U25" s="298">
        <v>374</v>
      </c>
      <c r="V25" s="298">
        <v>589</v>
      </c>
      <c r="X25" s="298">
        <f t="shared" si="12"/>
        <v>959</v>
      </c>
      <c r="Y25" s="298">
        <f t="shared" si="13"/>
        <v>1113</v>
      </c>
      <c r="Z25" s="298">
        <f t="shared" si="14"/>
        <v>538</v>
      </c>
      <c r="AA25" s="298">
        <f t="shared" si="15"/>
        <v>654</v>
      </c>
      <c r="AB25" s="298">
        <f t="shared" si="16"/>
        <v>991</v>
      </c>
      <c r="AC25" s="298">
        <f t="shared" si="17"/>
        <v>777</v>
      </c>
      <c r="AD25" s="298">
        <f t="shared" si="18"/>
        <v>753</v>
      </c>
      <c r="AE25" s="298">
        <f t="shared" si="19"/>
        <v>314</v>
      </c>
      <c r="AF25" s="298">
        <f t="shared" si="20"/>
        <v>412</v>
      </c>
      <c r="AG25" s="298">
        <f t="shared" si="21"/>
        <v>373</v>
      </c>
      <c r="AH25" s="298">
        <f t="shared" si="22"/>
        <v>374</v>
      </c>
      <c r="AI25" s="298">
        <f t="shared" si="23"/>
        <v>589</v>
      </c>
      <c r="AK25" s="309"/>
      <c r="AM25" s="309"/>
    </row>
    <row r="26" spans="1:39" ht="15">
      <c r="A26" s="288">
        <v>19</v>
      </c>
      <c r="B26" s="288">
        <v>10170</v>
      </c>
      <c r="C26" s="295" t="s">
        <v>480</v>
      </c>
      <c r="D26" s="297">
        <v>254.84299999999999</v>
      </c>
      <c r="E26" s="288">
        <v>4.4820000000000002</v>
      </c>
      <c r="F26" s="288" t="s">
        <v>106</v>
      </c>
      <c r="G26" s="288">
        <v>254.84299999999999</v>
      </c>
      <c r="I26" s="288" t="s">
        <v>478</v>
      </c>
      <c r="K26" s="298">
        <v>66565</v>
      </c>
      <c r="L26" s="298">
        <v>54613</v>
      </c>
      <c r="M26" s="298">
        <v>50749</v>
      </c>
      <c r="N26" s="298">
        <v>76412</v>
      </c>
      <c r="O26" s="298">
        <v>84738</v>
      </c>
      <c r="P26" s="298">
        <v>62524</v>
      </c>
      <c r="Q26" s="298">
        <v>58046</v>
      </c>
      <c r="R26" s="298">
        <v>34916</v>
      </c>
      <c r="S26" s="298">
        <v>29959</v>
      </c>
      <c r="T26" s="298">
        <v>51718</v>
      </c>
      <c r="U26" s="298">
        <v>31428</v>
      </c>
      <c r="V26" s="298">
        <v>28889</v>
      </c>
      <c r="X26" s="298">
        <f t="shared" si="12"/>
        <v>67757</v>
      </c>
      <c r="Y26" s="298">
        <f t="shared" si="13"/>
        <v>55591</v>
      </c>
      <c r="Z26" s="298">
        <f t="shared" si="14"/>
        <v>51658</v>
      </c>
      <c r="AA26" s="298">
        <f t="shared" si="15"/>
        <v>77780</v>
      </c>
      <c r="AB26" s="298">
        <f t="shared" si="16"/>
        <v>86255</v>
      </c>
      <c r="AC26" s="298">
        <f t="shared" si="17"/>
        <v>63643</v>
      </c>
      <c r="AD26" s="298">
        <f t="shared" si="18"/>
        <v>59085</v>
      </c>
      <c r="AE26" s="298">
        <f t="shared" si="19"/>
        <v>35541</v>
      </c>
      <c r="AF26" s="298">
        <f t="shared" si="20"/>
        <v>30495</v>
      </c>
      <c r="AG26" s="298">
        <f t="shared" si="21"/>
        <v>52644</v>
      </c>
      <c r="AH26" s="298">
        <f t="shared" si="22"/>
        <v>31991</v>
      </c>
      <c r="AI26" s="298">
        <f t="shared" si="23"/>
        <v>29406</v>
      </c>
      <c r="AK26" s="309"/>
      <c r="AM26" s="309"/>
    </row>
    <row r="27" spans="1:39" ht="15">
      <c r="A27" s="288">
        <v>20</v>
      </c>
      <c r="B27" s="288">
        <v>10172</v>
      </c>
      <c r="C27" s="295" t="s">
        <v>23</v>
      </c>
      <c r="D27" s="297">
        <v>7.4020000000000001</v>
      </c>
      <c r="E27" s="288">
        <v>1.2090000000000001</v>
      </c>
      <c r="F27" s="288" t="s">
        <v>106</v>
      </c>
      <c r="G27" s="288">
        <v>6.1929999999999996</v>
      </c>
      <c r="K27" s="298">
        <v>472</v>
      </c>
      <c r="L27" s="298">
        <v>539</v>
      </c>
      <c r="M27" s="298">
        <v>349</v>
      </c>
      <c r="N27" s="298">
        <v>280</v>
      </c>
      <c r="O27" s="298">
        <v>461</v>
      </c>
      <c r="P27" s="298">
        <v>410</v>
      </c>
      <c r="Q27" s="298">
        <v>574</v>
      </c>
      <c r="R27" s="298">
        <v>1078</v>
      </c>
      <c r="S27" s="298">
        <v>1580</v>
      </c>
      <c r="T27" s="298">
        <v>1323</v>
      </c>
      <c r="U27" s="298">
        <v>1372</v>
      </c>
      <c r="V27" s="298">
        <v>1300</v>
      </c>
      <c r="X27" s="298">
        <f t="shared" si="12"/>
        <v>472</v>
      </c>
      <c r="Y27" s="298">
        <f t="shared" si="13"/>
        <v>539</v>
      </c>
      <c r="Z27" s="298">
        <f t="shared" si="14"/>
        <v>349</v>
      </c>
      <c r="AA27" s="298">
        <f t="shared" si="15"/>
        <v>280</v>
      </c>
      <c r="AB27" s="298">
        <f t="shared" si="16"/>
        <v>461</v>
      </c>
      <c r="AC27" s="298">
        <f t="shared" si="17"/>
        <v>410</v>
      </c>
      <c r="AD27" s="298">
        <f t="shared" si="18"/>
        <v>574</v>
      </c>
      <c r="AE27" s="298">
        <f t="shared" si="19"/>
        <v>1078</v>
      </c>
      <c r="AF27" s="298">
        <f t="shared" si="20"/>
        <v>1580</v>
      </c>
      <c r="AG27" s="298">
        <f t="shared" si="21"/>
        <v>1323</v>
      </c>
      <c r="AH27" s="298">
        <f t="shared" si="22"/>
        <v>1372</v>
      </c>
      <c r="AI27" s="298">
        <f t="shared" si="23"/>
        <v>1300</v>
      </c>
      <c r="AK27" s="309"/>
      <c r="AM27" s="309"/>
    </row>
    <row r="28" spans="1:39" ht="15">
      <c r="A28" s="288">
        <v>21</v>
      </c>
      <c r="B28" s="288">
        <v>10179</v>
      </c>
      <c r="C28" s="295" t="s">
        <v>24</v>
      </c>
      <c r="D28" s="297">
        <v>169.31100000000001</v>
      </c>
      <c r="E28" s="288">
        <v>4.194</v>
      </c>
      <c r="F28" s="288" t="s">
        <v>106</v>
      </c>
      <c r="G28" s="288">
        <v>169.31100000000001</v>
      </c>
      <c r="K28" s="298">
        <v>27779</v>
      </c>
      <c r="L28" s="298">
        <v>36922</v>
      </c>
      <c r="M28" s="298">
        <v>32759</v>
      </c>
      <c r="N28" s="298">
        <v>26217</v>
      </c>
      <c r="O28" s="298">
        <v>38850</v>
      </c>
      <c r="P28" s="298">
        <v>29329</v>
      </c>
      <c r="Q28" s="298">
        <v>23985</v>
      </c>
      <c r="R28" s="298">
        <v>14823</v>
      </c>
      <c r="S28" s="298">
        <v>8913</v>
      </c>
      <c r="T28" s="298">
        <v>11621</v>
      </c>
      <c r="U28" s="298">
        <v>12148</v>
      </c>
      <c r="V28" s="298">
        <v>14708</v>
      </c>
      <c r="X28" s="298">
        <f t="shared" si="12"/>
        <v>28485</v>
      </c>
      <c r="Y28" s="298">
        <f t="shared" si="13"/>
        <v>37860</v>
      </c>
      <c r="Z28" s="298">
        <f t="shared" si="14"/>
        <v>33591</v>
      </c>
      <c r="AA28" s="298">
        <f t="shared" si="15"/>
        <v>26883</v>
      </c>
      <c r="AB28" s="298">
        <f t="shared" si="16"/>
        <v>39837</v>
      </c>
      <c r="AC28" s="298">
        <f t="shared" si="17"/>
        <v>30074</v>
      </c>
      <c r="AD28" s="298">
        <f t="shared" si="18"/>
        <v>24594</v>
      </c>
      <c r="AE28" s="298">
        <f t="shared" si="19"/>
        <v>15200</v>
      </c>
      <c r="AF28" s="298">
        <f t="shared" si="20"/>
        <v>9139</v>
      </c>
      <c r="AG28" s="298">
        <f t="shared" si="21"/>
        <v>11916</v>
      </c>
      <c r="AH28" s="298">
        <f t="shared" si="22"/>
        <v>12457</v>
      </c>
      <c r="AI28" s="298">
        <f t="shared" si="23"/>
        <v>15082</v>
      </c>
      <c r="AK28" s="309"/>
      <c r="AM28" s="309"/>
    </row>
    <row r="29" spans="1:39" ht="15">
      <c r="A29" s="288">
        <v>22</v>
      </c>
      <c r="B29" s="288">
        <v>10074</v>
      </c>
      <c r="C29" s="295" t="s">
        <v>25</v>
      </c>
      <c r="D29" s="297">
        <v>27.274999999999999</v>
      </c>
      <c r="E29" s="288">
        <v>1.7310000000000001</v>
      </c>
      <c r="F29" s="288" t="s">
        <v>106</v>
      </c>
      <c r="G29" s="288">
        <v>27.08</v>
      </c>
      <c r="K29" s="298">
        <v>6976</v>
      </c>
      <c r="L29" s="298">
        <v>7600</v>
      </c>
      <c r="M29" s="298">
        <v>7257</v>
      </c>
      <c r="N29" s="298">
        <v>7479</v>
      </c>
      <c r="O29" s="298">
        <v>9349</v>
      </c>
      <c r="P29" s="298">
        <v>7003</v>
      </c>
      <c r="Q29" s="298">
        <v>8155</v>
      </c>
      <c r="R29" s="298">
        <v>4570</v>
      </c>
      <c r="S29" s="298">
        <v>4180</v>
      </c>
      <c r="T29" s="298">
        <v>5756</v>
      </c>
      <c r="U29" s="298">
        <v>4406</v>
      </c>
      <c r="V29" s="298">
        <v>2902</v>
      </c>
      <c r="X29" s="298">
        <f t="shared" si="12"/>
        <v>7395</v>
      </c>
      <c r="Y29" s="298">
        <f t="shared" si="13"/>
        <v>8057</v>
      </c>
      <c r="Z29" s="298">
        <f t="shared" si="14"/>
        <v>7693</v>
      </c>
      <c r="AA29" s="298">
        <f t="shared" si="15"/>
        <v>7929</v>
      </c>
      <c r="AB29" s="298">
        <f t="shared" si="16"/>
        <v>9911</v>
      </c>
      <c r="AC29" s="298">
        <f t="shared" si="17"/>
        <v>7424</v>
      </c>
      <c r="AD29" s="298">
        <f t="shared" si="18"/>
        <v>8645</v>
      </c>
      <c r="AE29" s="298">
        <f t="shared" si="19"/>
        <v>4845</v>
      </c>
      <c r="AF29" s="298">
        <f t="shared" si="20"/>
        <v>4431</v>
      </c>
      <c r="AG29" s="298">
        <f t="shared" si="21"/>
        <v>6102</v>
      </c>
      <c r="AH29" s="298">
        <f t="shared" si="22"/>
        <v>4671</v>
      </c>
      <c r="AI29" s="298">
        <f t="shared" si="23"/>
        <v>3077</v>
      </c>
      <c r="AK29" s="309"/>
      <c r="AM29" s="309"/>
    </row>
    <row r="30" spans="1:39" ht="15">
      <c r="A30" s="288">
        <v>23</v>
      </c>
      <c r="B30" s="288">
        <v>10191</v>
      </c>
      <c r="C30" s="295" t="s">
        <v>27</v>
      </c>
      <c r="D30" s="297">
        <v>133.17400000000001</v>
      </c>
      <c r="E30" s="288">
        <v>4.5350000000000001</v>
      </c>
      <c r="F30" s="288" t="s">
        <v>106</v>
      </c>
      <c r="G30" s="288">
        <v>133.17400000000001</v>
      </c>
      <c r="I30" s="288" t="s">
        <v>478</v>
      </c>
      <c r="K30" s="298">
        <v>34368</v>
      </c>
      <c r="L30" s="298">
        <v>38889</v>
      </c>
      <c r="M30" s="298">
        <v>22201</v>
      </c>
      <c r="N30" s="298">
        <v>30020</v>
      </c>
      <c r="O30" s="298">
        <v>35986</v>
      </c>
      <c r="P30" s="298">
        <v>28759</v>
      </c>
      <c r="Q30" s="298">
        <v>32630</v>
      </c>
      <c r="R30" s="298">
        <v>21401</v>
      </c>
      <c r="S30" s="298">
        <v>7927</v>
      </c>
      <c r="T30" s="298">
        <v>2819</v>
      </c>
      <c r="U30" s="298">
        <v>2867</v>
      </c>
      <c r="V30" s="298">
        <v>13521</v>
      </c>
      <c r="X30" s="298">
        <f t="shared" si="12"/>
        <v>35580</v>
      </c>
      <c r="Y30" s="298">
        <f t="shared" si="13"/>
        <v>40260</v>
      </c>
      <c r="Z30" s="298">
        <f t="shared" si="14"/>
        <v>22984</v>
      </c>
      <c r="AA30" s="298">
        <f t="shared" si="15"/>
        <v>31078</v>
      </c>
      <c r="AB30" s="298">
        <f t="shared" si="16"/>
        <v>37255</v>
      </c>
      <c r="AC30" s="298">
        <f t="shared" si="17"/>
        <v>29773</v>
      </c>
      <c r="AD30" s="298">
        <f t="shared" si="18"/>
        <v>33780</v>
      </c>
      <c r="AE30" s="298">
        <f t="shared" si="19"/>
        <v>22155</v>
      </c>
      <c r="AF30" s="298">
        <f t="shared" si="20"/>
        <v>8206</v>
      </c>
      <c r="AG30" s="298">
        <f t="shared" si="21"/>
        <v>2918</v>
      </c>
      <c r="AH30" s="298">
        <f t="shared" si="22"/>
        <v>2968</v>
      </c>
      <c r="AI30" s="298">
        <f t="shared" si="23"/>
        <v>13998</v>
      </c>
      <c r="AK30" s="309"/>
      <c r="AM30" s="309"/>
    </row>
    <row r="31" spans="1:39" ht="15">
      <c r="A31" s="288">
        <v>24</v>
      </c>
      <c r="B31" s="288">
        <v>10235</v>
      </c>
      <c r="C31" s="295" t="s">
        <v>30</v>
      </c>
      <c r="D31" s="297">
        <v>33.838999999999999</v>
      </c>
      <c r="E31" s="288">
        <v>0.23200000000000001</v>
      </c>
      <c r="F31" s="288" t="s">
        <v>106</v>
      </c>
      <c r="G31" s="288">
        <v>33.606999999999999</v>
      </c>
      <c r="K31" s="298">
        <v>6102</v>
      </c>
      <c r="L31" s="298">
        <v>8816</v>
      </c>
      <c r="M31" s="298">
        <v>4990</v>
      </c>
      <c r="N31" s="298">
        <v>6165</v>
      </c>
      <c r="O31" s="298">
        <v>6987</v>
      </c>
      <c r="P31" s="298">
        <v>5499</v>
      </c>
      <c r="Q31" s="298">
        <v>5438</v>
      </c>
      <c r="R31" s="298">
        <v>2864</v>
      </c>
      <c r="S31" s="298">
        <v>2825</v>
      </c>
      <c r="T31" s="298">
        <v>4576</v>
      </c>
      <c r="U31" s="298">
        <v>3084</v>
      </c>
      <c r="V31" s="298">
        <v>1854</v>
      </c>
      <c r="X31" s="298">
        <f t="shared" si="12"/>
        <v>6102</v>
      </c>
      <c r="Y31" s="298">
        <f t="shared" si="13"/>
        <v>8816</v>
      </c>
      <c r="Z31" s="298">
        <f t="shared" si="14"/>
        <v>4990</v>
      </c>
      <c r="AA31" s="298">
        <f t="shared" si="15"/>
        <v>6165</v>
      </c>
      <c r="AB31" s="298">
        <f t="shared" si="16"/>
        <v>6987</v>
      </c>
      <c r="AC31" s="298">
        <f t="shared" si="17"/>
        <v>5499</v>
      </c>
      <c r="AD31" s="298">
        <f t="shared" si="18"/>
        <v>5438</v>
      </c>
      <c r="AE31" s="298">
        <f t="shared" si="19"/>
        <v>2864</v>
      </c>
      <c r="AF31" s="298">
        <f t="shared" si="20"/>
        <v>2825</v>
      </c>
      <c r="AG31" s="298">
        <f t="shared" si="21"/>
        <v>4576</v>
      </c>
      <c r="AH31" s="298">
        <f t="shared" si="22"/>
        <v>3084</v>
      </c>
      <c r="AI31" s="298">
        <f t="shared" si="23"/>
        <v>1854</v>
      </c>
      <c r="AK31" s="309"/>
      <c r="AM31" s="309"/>
    </row>
    <row r="32" spans="1:39" ht="15">
      <c r="A32" s="288">
        <v>25</v>
      </c>
      <c r="B32" s="288">
        <v>10239</v>
      </c>
      <c r="C32" s="295" t="s">
        <v>32</v>
      </c>
      <c r="D32" s="297">
        <v>14.789</v>
      </c>
      <c r="E32" s="288">
        <v>0.61099999999999999</v>
      </c>
      <c r="F32" s="288" t="s">
        <v>106</v>
      </c>
      <c r="G32" s="288">
        <v>14.209</v>
      </c>
      <c r="K32" s="298">
        <v>5240</v>
      </c>
      <c r="L32" s="298">
        <v>5219</v>
      </c>
      <c r="M32" s="298">
        <v>4184</v>
      </c>
      <c r="N32" s="298">
        <v>5910</v>
      </c>
      <c r="O32" s="298">
        <v>5934</v>
      </c>
      <c r="P32" s="298">
        <v>5760</v>
      </c>
      <c r="Q32" s="298">
        <v>4295</v>
      </c>
      <c r="R32" s="298">
        <v>3766</v>
      </c>
      <c r="S32" s="298">
        <v>2087</v>
      </c>
      <c r="T32" s="298">
        <v>1145</v>
      </c>
      <c r="U32" s="298">
        <v>1001</v>
      </c>
      <c r="V32" s="298">
        <v>3799</v>
      </c>
      <c r="X32" s="298">
        <f t="shared" si="12"/>
        <v>5251</v>
      </c>
      <c r="Y32" s="298">
        <f t="shared" si="13"/>
        <v>5230</v>
      </c>
      <c r="Z32" s="298">
        <f t="shared" si="14"/>
        <v>4193</v>
      </c>
      <c r="AA32" s="298">
        <f t="shared" si="15"/>
        <v>5923</v>
      </c>
      <c r="AB32" s="298">
        <f t="shared" si="16"/>
        <v>5947</v>
      </c>
      <c r="AC32" s="298">
        <f t="shared" si="17"/>
        <v>5773</v>
      </c>
      <c r="AD32" s="298">
        <f t="shared" si="18"/>
        <v>4304</v>
      </c>
      <c r="AE32" s="298">
        <f t="shared" si="19"/>
        <v>3774</v>
      </c>
      <c r="AF32" s="298">
        <f t="shared" si="20"/>
        <v>2092</v>
      </c>
      <c r="AG32" s="298">
        <f t="shared" si="21"/>
        <v>1148</v>
      </c>
      <c r="AH32" s="298">
        <f t="shared" si="22"/>
        <v>1003</v>
      </c>
      <c r="AI32" s="298">
        <f t="shared" si="23"/>
        <v>3807</v>
      </c>
      <c r="AK32" s="309"/>
      <c r="AM32" s="309"/>
    </row>
    <row r="33" spans="1:39" ht="15">
      <c r="A33" s="288">
        <v>26</v>
      </c>
      <c r="B33" s="288">
        <v>10246</v>
      </c>
      <c r="C33" s="295" t="s">
        <v>33</v>
      </c>
      <c r="D33" s="297">
        <v>9.1210000000000004</v>
      </c>
      <c r="E33" s="288">
        <v>3.0000000000000001E-3</v>
      </c>
      <c r="F33" s="288" t="s">
        <v>106</v>
      </c>
      <c r="G33" s="288">
        <v>9.1210000000000004</v>
      </c>
      <c r="K33" s="298">
        <v>4144</v>
      </c>
      <c r="L33" s="298">
        <v>4369</v>
      </c>
      <c r="M33" s="298">
        <v>2697</v>
      </c>
      <c r="N33" s="298">
        <v>3548</v>
      </c>
      <c r="O33" s="298">
        <v>4208</v>
      </c>
      <c r="P33" s="298">
        <v>3539</v>
      </c>
      <c r="Q33" s="298">
        <v>3804</v>
      </c>
      <c r="R33" s="298">
        <v>2762</v>
      </c>
      <c r="S33" s="298">
        <v>870</v>
      </c>
      <c r="T33" s="298">
        <v>1236</v>
      </c>
      <c r="U33" s="298">
        <v>579</v>
      </c>
      <c r="V33" s="298">
        <v>2149</v>
      </c>
      <c r="X33" s="298">
        <f t="shared" si="12"/>
        <v>4145</v>
      </c>
      <c r="Y33" s="298">
        <f t="shared" si="13"/>
        <v>4370</v>
      </c>
      <c r="Z33" s="298">
        <f t="shared" si="14"/>
        <v>2698</v>
      </c>
      <c r="AA33" s="298">
        <f t="shared" si="15"/>
        <v>3549</v>
      </c>
      <c r="AB33" s="298">
        <f t="shared" si="16"/>
        <v>4209</v>
      </c>
      <c r="AC33" s="298">
        <f t="shared" si="17"/>
        <v>3540</v>
      </c>
      <c r="AD33" s="298">
        <f t="shared" si="18"/>
        <v>3805</v>
      </c>
      <c r="AE33" s="298">
        <f t="shared" si="19"/>
        <v>2763</v>
      </c>
      <c r="AF33" s="298">
        <f t="shared" si="20"/>
        <v>870</v>
      </c>
      <c r="AG33" s="298">
        <f t="shared" si="21"/>
        <v>1236</v>
      </c>
      <c r="AH33" s="298">
        <f t="shared" si="22"/>
        <v>579</v>
      </c>
      <c r="AI33" s="298">
        <f t="shared" si="23"/>
        <v>2150</v>
      </c>
      <c r="AK33" s="309"/>
      <c r="AM33" s="309"/>
    </row>
    <row r="34" spans="1:39" ht="15">
      <c r="A34" s="288">
        <v>27</v>
      </c>
      <c r="B34" s="288">
        <v>10247</v>
      </c>
      <c r="C34" s="295" t="s">
        <v>34</v>
      </c>
      <c r="D34" s="297">
        <v>81.120999999999995</v>
      </c>
      <c r="E34" s="288">
        <v>0.192</v>
      </c>
      <c r="F34" s="288" t="s">
        <v>106</v>
      </c>
      <c r="G34" s="288">
        <v>81.120999999999995</v>
      </c>
      <c r="K34" s="298">
        <v>32082</v>
      </c>
      <c r="L34" s="298">
        <v>32067</v>
      </c>
      <c r="M34" s="298">
        <v>19192</v>
      </c>
      <c r="N34" s="298">
        <v>26062</v>
      </c>
      <c r="O34" s="298">
        <v>30548</v>
      </c>
      <c r="P34" s="298">
        <v>28336</v>
      </c>
      <c r="Q34" s="298">
        <v>29491</v>
      </c>
      <c r="R34" s="298">
        <v>20874</v>
      </c>
      <c r="S34" s="298">
        <v>7129</v>
      </c>
      <c r="T34" s="298">
        <v>5819</v>
      </c>
      <c r="U34" s="298">
        <v>1813</v>
      </c>
      <c r="V34" s="298">
        <v>13366</v>
      </c>
      <c r="X34" s="298">
        <f t="shared" si="12"/>
        <v>32158</v>
      </c>
      <c r="Y34" s="298">
        <f t="shared" si="13"/>
        <v>32143</v>
      </c>
      <c r="Z34" s="298">
        <f t="shared" si="14"/>
        <v>19238</v>
      </c>
      <c r="AA34" s="298">
        <f t="shared" si="15"/>
        <v>26124</v>
      </c>
      <c r="AB34" s="298">
        <f t="shared" si="16"/>
        <v>30620</v>
      </c>
      <c r="AC34" s="298">
        <f t="shared" si="17"/>
        <v>28403</v>
      </c>
      <c r="AD34" s="298">
        <f t="shared" si="18"/>
        <v>29561</v>
      </c>
      <c r="AE34" s="298">
        <f t="shared" si="19"/>
        <v>20924</v>
      </c>
      <c r="AF34" s="298">
        <f t="shared" si="20"/>
        <v>7146</v>
      </c>
      <c r="AG34" s="298">
        <f t="shared" si="21"/>
        <v>5833</v>
      </c>
      <c r="AH34" s="298">
        <f t="shared" si="22"/>
        <v>1817</v>
      </c>
      <c r="AI34" s="298">
        <f t="shared" si="23"/>
        <v>13398</v>
      </c>
      <c r="AK34" s="309"/>
      <c r="AM34" s="309"/>
    </row>
    <row r="35" spans="1:39" ht="15">
      <c r="A35" s="288">
        <v>28</v>
      </c>
      <c r="B35" s="288">
        <v>10078</v>
      </c>
      <c r="C35" s="295" t="s">
        <v>35</v>
      </c>
      <c r="D35" s="297">
        <v>4.2359999999999998</v>
      </c>
      <c r="E35" s="288">
        <v>0.46300000000000002</v>
      </c>
      <c r="F35" s="288" t="s">
        <v>106</v>
      </c>
      <c r="G35" s="288">
        <v>3.7729999999999997</v>
      </c>
      <c r="K35" s="298">
        <v>1262</v>
      </c>
      <c r="L35" s="298">
        <v>1089</v>
      </c>
      <c r="M35" s="298">
        <v>1150</v>
      </c>
      <c r="N35" s="298">
        <v>974</v>
      </c>
      <c r="O35" s="298">
        <v>1653</v>
      </c>
      <c r="P35" s="298">
        <v>1434</v>
      </c>
      <c r="Q35" s="298">
        <v>1044</v>
      </c>
      <c r="R35" s="298">
        <v>980</v>
      </c>
      <c r="S35" s="298">
        <v>766</v>
      </c>
      <c r="T35" s="298">
        <v>895</v>
      </c>
      <c r="U35" s="298">
        <v>285</v>
      </c>
      <c r="V35" s="298">
        <v>946</v>
      </c>
      <c r="X35" s="298">
        <f t="shared" si="12"/>
        <v>1262</v>
      </c>
      <c r="Y35" s="298">
        <f t="shared" si="13"/>
        <v>1089</v>
      </c>
      <c r="Z35" s="298">
        <f t="shared" si="14"/>
        <v>1150</v>
      </c>
      <c r="AA35" s="298">
        <f t="shared" si="15"/>
        <v>974</v>
      </c>
      <c r="AB35" s="298">
        <f t="shared" si="16"/>
        <v>1653</v>
      </c>
      <c r="AC35" s="298">
        <f t="shared" si="17"/>
        <v>1434</v>
      </c>
      <c r="AD35" s="298">
        <f t="shared" si="18"/>
        <v>1044</v>
      </c>
      <c r="AE35" s="298">
        <f t="shared" si="19"/>
        <v>980</v>
      </c>
      <c r="AF35" s="298">
        <f t="shared" si="20"/>
        <v>766</v>
      </c>
      <c r="AG35" s="298">
        <f t="shared" si="21"/>
        <v>895</v>
      </c>
      <c r="AH35" s="298">
        <f t="shared" si="22"/>
        <v>285</v>
      </c>
      <c r="AI35" s="298">
        <f t="shared" si="23"/>
        <v>946</v>
      </c>
      <c r="AK35" s="309"/>
      <c r="AM35" s="309"/>
    </row>
    <row r="36" spans="1:39" ht="15">
      <c r="A36" s="288">
        <v>29</v>
      </c>
      <c r="B36" s="288">
        <v>10081</v>
      </c>
      <c r="C36" s="295" t="s">
        <v>37</v>
      </c>
      <c r="D36" s="297">
        <v>10.698</v>
      </c>
      <c r="E36" s="288">
        <v>9.9000000000000005E-2</v>
      </c>
      <c r="F36" s="288" t="s">
        <v>106</v>
      </c>
      <c r="G36" s="288">
        <v>10.611000000000001</v>
      </c>
      <c r="K36" s="298">
        <v>5117</v>
      </c>
      <c r="L36" s="298">
        <v>5495</v>
      </c>
      <c r="M36" s="298">
        <v>3659</v>
      </c>
      <c r="N36" s="298">
        <v>5604</v>
      </c>
      <c r="O36" s="298">
        <v>6206</v>
      </c>
      <c r="P36" s="298">
        <v>4615</v>
      </c>
      <c r="Q36" s="298">
        <v>5207</v>
      </c>
      <c r="R36" s="298">
        <v>2546</v>
      </c>
      <c r="S36" s="298">
        <v>3701</v>
      </c>
      <c r="T36" s="298">
        <v>2928</v>
      </c>
      <c r="U36" s="298">
        <v>3522</v>
      </c>
      <c r="V36" s="298">
        <v>2393</v>
      </c>
      <c r="X36" s="298">
        <f t="shared" si="12"/>
        <v>5123</v>
      </c>
      <c r="Y36" s="298">
        <f t="shared" si="13"/>
        <v>5501</v>
      </c>
      <c r="Z36" s="298">
        <f t="shared" si="14"/>
        <v>3663</v>
      </c>
      <c r="AA36" s="298">
        <f t="shared" si="15"/>
        <v>5610</v>
      </c>
      <c r="AB36" s="298">
        <f t="shared" si="16"/>
        <v>6213</v>
      </c>
      <c r="AC36" s="298">
        <f t="shared" si="17"/>
        <v>4620</v>
      </c>
      <c r="AD36" s="298">
        <f t="shared" si="18"/>
        <v>5213</v>
      </c>
      <c r="AE36" s="298">
        <f t="shared" si="19"/>
        <v>2549</v>
      </c>
      <c r="AF36" s="298">
        <f t="shared" si="20"/>
        <v>3705</v>
      </c>
      <c r="AG36" s="298">
        <f t="shared" si="21"/>
        <v>2931</v>
      </c>
      <c r="AH36" s="298">
        <f t="shared" si="22"/>
        <v>3526</v>
      </c>
      <c r="AI36" s="298">
        <f t="shared" si="23"/>
        <v>2396</v>
      </c>
      <c r="AK36" s="309"/>
      <c r="AM36" s="309"/>
    </row>
    <row r="37" spans="1:39" ht="15">
      <c r="A37" s="288">
        <v>30</v>
      </c>
      <c r="B37" s="288">
        <v>10258</v>
      </c>
      <c r="C37" s="295" t="s">
        <v>481</v>
      </c>
      <c r="D37" s="297">
        <v>38.518000000000001</v>
      </c>
      <c r="E37" s="288">
        <v>0.40400000000000003</v>
      </c>
      <c r="F37" s="288" t="s">
        <v>106</v>
      </c>
      <c r="G37" s="288">
        <v>38.518000000000001</v>
      </c>
      <c r="K37" s="298">
        <v>14718</v>
      </c>
      <c r="L37" s="298">
        <v>15866</v>
      </c>
      <c r="M37" s="298">
        <v>13172</v>
      </c>
      <c r="N37" s="298">
        <v>14802</v>
      </c>
      <c r="O37" s="298">
        <v>19072</v>
      </c>
      <c r="P37" s="298">
        <v>14968</v>
      </c>
      <c r="Q37" s="298">
        <v>14339</v>
      </c>
      <c r="R37" s="298">
        <v>13876</v>
      </c>
      <c r="S37" s="298">
        <v>5240</v>
      </c>
      <c r="T37" s="298">
        <v>2885</v>
      </c>
      <c r="U37" s="298">
        <v>3705</v>
      </c>
      <c r="V37" s="298">
        <v>6413</v>
      </c>
      <c r="X37" s="298">
        <f t="shared" si="12"/>
        <v>14874</v>
      </c>
      <c r="Y37" s="298">
        <f t="shared" si="13"/>
        <v>16034</v>
      </c>
      <c r="Z37" s="298">
        <f t="shared" si="14"/>
        <v>13312</v>
      </c>
      <c r="AA37" s="298">
        <f t="shared" si="15"/>
        <v>14959</v>
      </c>
      <c r="AB37" s="298">
        <f t="shared" si="16"/>
        <v>19274</v>
      </c>
      <c r="AC37" s="298">
        <f t="shared" si="17"/>
        <v>15127</v>
      </c>
      <c r="AD37" s="298">
        <f t="shared" si="18"/>
        <v>14491</v>
      </c>
      <c r="AE37" s="298">
        <f t="shared" si="19"/>
        <v>14023</v>
      </c>
      <c r="AF37" s="298">
        <f t="shared" si="20"/>
        <v>5296</v>
      </c>
      <c r="AG37" s="298">
        <f t="shared" si="21"/>
        <v>2916</v>
      </c>
      <c r="AH37" s="298">
        <f t="shared" si="22"/>
        <v>3744</v>
      </c>
      <c r="AI37" s="298">
        <f t="shared" si="23"/>
        <v>6481</v>
      </c>
      <c r="AK37" s="309"/>
      <c r="AM37" s="309"/>
    </row>
    <row r="38" spans="1:39" ht="15">
      <c r="A38" s="288">
        <v>31</v>
      </c>
      <c r="B38" s="288">
        <v>10286</v>
      </c>
      <c r="C38" s="295" t="s">
        <v>482</v>
      </c>
      <c r="D38" s="297">
        <v>49.677999999999997</v>
      </c>
      <c r="E38" s="288">
        <v>3.758</v>
      </c>
      <c r="F38" s="288" t="s">
        <v>106</v>
      </c>
      <c r="G38" s="288">
        <v>46.595999999999997</v>
      </c>
      <c r="I38" s="288" t="s">
        <v>478</v>
      </c>
      <c r="K38" s="298">
        <v>33604</v>
      </c>
      <c r="L38" s="298">
        <v>31227</v>
      </c>
      <c r="M38" s="298">
        <v>20658</v>
      </c>
      <c r="N38" s="298">
        <v>30484</v>
      </c>
      <c r="O38" s="298">
        <v>30303</v>
      </c>
      <c r="P38" s="298">
        <v>32098</v>
      </c>
      <c r="Q38" s="298">
        <v>26071</v>
      </c>
      <c r="R38" s="298">
        <v>14448</v>
      </c>
      <c r="S38" s="298">
        <v>11661</v>
      </c>
      <c r="T38" s="298">
        <v>11797</v>
      </c>
      <c r="U38" s="298">
        <v>9724</v>
      </c>
      <c r="V38" s="298">
        <v>10029</v>
      </c>
      <c r="X38" s="298">
        <f t="shared" si="12"/>
        <v>34099</v>
      </c>
      <c r="Y38" s="298">
        <f t="shared" si="13"/>
        <v>31687</v>
      </c>
      <c r="Z38" s="298">
        <f t="shared" si="14"/>
        <v>20962</v>
      </c>
      <c r="AA38" s="298">
        <f t="shared" si="15"/>
        <v>30933</v>
      </c>
      <c r="AB38" s="298">
        <f t="shared" si="16"/>
        <v>30749</v>
      </c>
      <c r="AC38" s="298">
        <f t="shared" si="17"/>
        <v>32571</v>
      </c>
      <c r="AD38" s="298">
        <f t="shared" si="18"/>
        <v>26455</v>
      </c>
      <c r="AE38" s="298">
        <f t="shared" si="19"/>
        <v>14661</v>
      </c>
      <c r="AF38" s="298">
        <f t="shared" si="20"/>
        <v>11833</v>
      </c>
      <c r="AG38" s="298">
        <f t="shared" si="21"/>
        <v>11971</v>
      </c>
      <c r="AH38" s="298">
        <f t="shared" si="22"/>
        <v>9867</v>
      </c>
      <c r="AI38" s="298">
        <f t="shared" si="23"/>
        <v>10177</v>
      </c>
      <c r="AK38" s="309"/>
      <c r="AM38" s="309"/>
    </row>
    <row r="39" spans="1:39" ht="15">
      <c r="A39" s="288">
        <v>32</v>
      </c>
      <c r="B39" s="288">
        <v>10288</v>
      </c>
      <c r="C39" s="295" t="s">
        <v>40</v>
      </c>
      <c r="D39" s="297">
        <v>25.103000000000002</v>
      </c>
      <c r="E39" s="288">
        <v>0.26300000000000001</v>
      </c>
      <c r="F39" s="288" t="s">
        <v>106</v>
      </c>
      <c r="G39" s="288">
        <v>25.103000000000002</v>
      </c>
      <c r="K39" s="298">
        <v>8518</v>
      </c>
      <c r="L39" s="298">
        <v>11278</v>
      </c>
      <c r="M39" s="298">
        <v>5747</v>
      </c>
      <c r="N39" s="298">
        <v>10446</v>
      </c>
      <c r="O39" s="298">
        <v>9774</v>
      </c>
      <c r="P39" s="298">
        <v>8954</v>
      </c>
      <c r="Q39" s="298">
        <v>8249</v>
      </c>
      <c r="R39" s="298">
        <v>5602</v>
      </c>
      <c r="S39" s="298">
        <v>2933</v>
      </c>
      <c r="T39" s="298">
        <v>3008</v>
      </c>
      <c r="U39" s="298">
        <v>1521</v>
      </c>
      <c r="V39" s="298">
        <v>3686</v>
      </c>
      <c r="X39" s="298">
        <f t="shared" si="12"/>
        <v>8608</v>
      </c>
      <c r="Y39" s="298">
        <f t="shared" si="13"/>
        <v>11397</v>
      </c>
      <c r="Z39" s="298">
        <f t="shared" si="14"/>
        <v>5808</v>
      </c>
      <c r="AA39" s="298">
        <f t="shared" si="15"/>
        <v>10557</v>
      </c>
      <c r="AB39" s="298">
        <f t="shared" si="16"/>
        <v>9877</v>
      </c>
      <c r="AC39" s="298">
        <f t="shared" si="17"/>
        <v>9049</v>
      </c>
      <c r="AD39" s="298">
        <f t="shared" si="18"/>
        <v>8336</v>
      </c>
      <c r="AE39" s="298">
        <f t="shared" si="19"/>
        <v>5661</v>
      </c>
      <c r="AF39" s="298">
        <f t="shared" si="20"/>
        <v>2964</v>
      </c>
      <c r="AG39" s="298">
        <f t="shared" si="21"/>
        <v>3040</v>
      </c>
      <c r="AH39" s="298">
        <f t="shared" si="22"/>
        <v>1537</v>
      </c>
      <c r="AI39" s="298">
        <f t="shared" si="23"/>
        <v>3725</v>
      </c>
      <c r="AK39" s="309"/>
      <c r="AM39" s="309"/>
    </row>
    <row r="40" spans="1:39" ht="15">
      <c r="A40" s="288">
        <v>33</v>
      </c>
      <c r="B40" s="288">
        <v>10291</v>
      </c>
      <c r="C40" s="295" t="s">
        <v>483</v>
      </c>
      <c r="D40" s="297">
        <v>82.488</v>
      </c>
      <c r="E40" s="288">
        <v>4.1559999999999997</v>
      </c>
      <c r="F40" s="288" t="s">
        <v>106</v>
      </c>
      <c r="G40" s="288">
        <v>80.363</v>
      </c>
      <c r="K40" s="298">
        <v>13120</v>
      </c>
      <c r="L40" s="298">
        <v>19901</v>
      </c>
      <c r="M40" s="298">
        <v>13141</v>
      </c>
      <c r="N40" s="298">
        <v>12468</v>
      </c>
      <c r="O40" s="298">
        <v>17088</v>
      </c>
      <c r="P40" s="298">
        <v>12544</v>
      </c>
      <c r="Q40" s="298">
        <v>10821</v>
      </c>
      <c r="R40" s="298">
        <v>8363</v>
      </c>
      <c r="S40" s="298">
        <v>9590</v>
      </c>
      <c r="T40" s="298">
        <v>10352</v>
      </c>
      <c r="U40" s="298">
        <v>8579</v>
      </c>
      <c r="V40" s="298">
        <v>7768</v>
      </c>
      <c r="X40" s="298">
        <f t="shared" si="12"/>
        <v>13460</v>
      </c>
      <c r="Y40" s="298">
        <f t="shared" si="13"/>
        <v>20417</v>
      </c>
      <c r="Z40" s="298">
        <f t="shared" si="14"/>
        <v>13482</v>
      </c>
      <c r="AA40" s="298">
        <f t="shared" si="15"/>
        <v>12791</v>
      </c>
      <c r="AB40" s="298">
        <f t="shared" si="16"/>
        <v>17531</v>
      </c>
      <c r="AC40" s="298">
        <f t="shared" si="17"/>
        <v>12869</v>
      </c>
      <c r="AD40" s="298">
        <f t="shared" si="18"/>
        <v>11102</v>
      </c>
      <c r="AE40" s="298">
        <f t="shared" si="19"/>
        <v>8580</v>
      </c>
      <c r="AF40" s="298">
        <f t="shared" si="20"/>
        <v>9839</v>
      </c>
      <c r="AG40" s="298">
        <f t="shared" si="21"/>
        <v>10620</v>
      </c>
      <c r="AH40" s="298">
        <f t="shared" si="22"/>
        <v>8801</v>
      </c>
      <c r="AI40" s="298">
        <f t="shared" si="23"/>
        <v>7969</v>
      </c>
      <c r="AK40" s="309"/>
      <c r="AM40" s="309"/>
    </row>
    <row r="41" spans="1:39" ht="15">
      <c r="A41" s="288">
        <v>34</v>
      </c>
      <c r="B41" s="288">
        <v>10304</v>
      </c>
      <c r="C41" s="295" t="s">
        <v>43</v>
      </c>
      <c r="D41" s="297">
        <v>14.278</v>
      </c>
      <c r="E41" s="288">
        <v>2.7E-2</v>
      </c>
      <c r="F41" s="288" t="s">
        <v>106</v>
      </c>
      <c r="G41" s="288">
        <v>14.278</v>
      </c>
      <c r="K41" s="298">
        <v>3946</v>
      </c>
      <c r="L41" s="298">
        <v>5210</v>
      </c>
      <c r="M41" s="298">
        <v>2806</v>
      </c>
      <c r="N41" s="298">
        <v>3580</v>
      </c>
      <c r="O41" s="298">
        <v>4405</v>
      </c>
      <c r="P41" s="298">
        <v>4140</v>
      </c>
      <c r="Q41" s="298">
        <v>3044</v>
      </c>
      <c r="R41" s="298">
        <v>2357</v>
      </c>
      <c r="S41" s="298">
        <v>719</v>
      </c>
      <c r="T41" s="298">
        <v>1399</v>
      </c>
      <c r="U41" s="298">
        <v>1077</v>
      </c>
      <c r="V41" s="298">
        <v>1354</v>
      </c>
      <c r="X41" s="298">
        <f t="shared" si="12"/>
        <v>3953</v>
      </c>
      <c r="Y41" s="298">
        <f t="shared" si="13"/>
        <v>5220</v>
      </c>
      <c r="Z41" s="298">
        <f t="shared" si="14"/>
        <v>2811</v>
      </c>
      <c r="AA41" s="298">
        <f t="shared" si="15"/>
        <v>3587</v>
      </c>
      <c r="AB41" s="298">
        <f t="shared" si="16"/>
        <v>4413</v>
      </c>
      <c r="AC41" s="298">
        <f t="shared" si="17"/>
        <v>4148</v>
      </c>
      <c r="AD41" s="298">
        <f t="shared" si="18"/>
        <v>3050</v>
      </c>
      <c r="AE41" s="298">
        <f t="shared" si="19"/>
        <v>2361</v>
      </c>
      <c r="AF41" s="298">
        <f t="shared" si="20"/>
        <v>720</v>
      </c>
      <c r="AG41" s="298">
        <f t="shared" si="21"/>
        <v>1402</v>
      </c>
      <c r="AH41" s="298">
        <f t="shared" si="22"/>
        <v>1079</v>
      </c>
      <c r="AI41" s="298">
        <f t="shared" si="23"/>
        <v>1357</v>
      </c>
      <c r="AK41" s="309"/>
      <c r="AM41" s="309"/>
    </row>
    <row r="42" spans="1:39" ht="15">
      <c r="A42" s="288">
        <v>35</v>
      </c>
      <c r="B42" s="288">
        <v>10306</v>
      </c>
      <c r="C42" s="295" t="s">
        <v>44</v>
      </c>
      <c r="D42" s="297">
        <v>29.443999999999999</v>
      </c>
      <c r="E42" s="288">
        <v>3.2909999999999999</v>
      </c>
      <c r="F42" s="288" t="s">
        <v>106</v>
      </c>
      <c r="G42" s="288">
        <v>26.152999999999999</v>
      </c>
      <c r="I42" s="288" t="s">
        <v>484</v>
      </c>
      <c r="K42" s="298">
        <v>11605</v>
      </c>
      <c r="L42" s="298">
        <v>9139</v>
      </c>
      <c r="M42" s="298">
        <v>10424</v>
      </c>
      <c r="N42" s="298">
        <v>11756</v>
      </c>
      <c r="O42" s="298">
        <v>11234</v>
      </c>
      <c r="P42" s="298">
        <v>9675</v>
      </c>
      <c r="Q42" s="298">
        <v>0</v>
      </c>
      <c r="R42" s="298">
        <v>0</v>
      </c>
      <c r="S42" s="298">
        <v>0</v>
      </c>
      <c r="T42" s="298">
        <v>1703</v>
      </c>
      <c r="U42" s="298">
        <v>2143</v>
      </c>
      <c r="V42" s="298">
        <v>9704</v>
      </c>
      <c r="X42" s="298">
        <f t="shared" si="12"/>
        <v>11605</v>
      </c>
      <c r="Y42" s="298">
        <f t="shared" si="13"/>
        <v>9139</v>
      </c>
      <c r="Z42" s="298">
        <f t="shared" si="14"/>
        <v>10424</v>
      </c>
      <c r="AA42" s="298">
        <f t="shared" si="15"/>
        <v>11756</v>
      </c>
      <c r="AB42" s="298">
        <f t="shared" si="16"/>
        <v>11234</v>
      </c>
      <c r="AC42" s="298">
        <f t="shared" si="17"/>
        <v>9675</v>
      </c>
      <c r="AD42" s="298">
        <f t="shared" si="18"/>
        <v>0</v>
      </c>
      <c r="AE42" s="298">
        <f t="shared" si="19"/>
        <v>0</v>
      </c>
      <c r="AF42" s="298">
        <f t="shared" si="20"/>
        <v>0</v>
      </c>
      <c r="AG42" s="298">
        <f t="shared" si="21"/>
        <v>1703</v>
      </c>
      <c r="AH42" s="298">
        <f t="shared" si="22"/>
        <v>2143</v>
      </c>
      <c r="AI42" s="298">
        <f t="shared" si="23"/>
        <v>9704</v>
      </c>
      <c r="AK42" s="309"/>
      <c r="AM42" s="309"/>
    </row>
    <row r="43" spans="1:39" ht="15">
      <c r="A43" s="288">
        <v>36</v>
      </c>
      <c r="B43" s="288">
        <v>10086</v>
      </c>
      <c r="C43" s="295" t="s">
        <v>45</v>
      </c>
      <c r="D43" s="297">
        <v>4.0039999999999996</v>
      </c>
      <c r="E43" s="288">
        <v>0.01</v>
      </c>
      <c r="F43" s="288" t="s">
        <v>106</v>
      </c>
      <c r="G43" s="288">
        <v>4.0039999999999996</v>
      </c>
      <c r="K43" s="298">
        <v>1269</v>
      </c>
      <c r="L43" s="298">
        <v>1370</v>
      </c>
      <c r="M43" s="298">
        <v>1356</v>
      </c>
      <c r="N43" s="298">
        <v>1216</v>
      </c>
      <c r="O43" s="298">
        <v>1227</v>
      </c>
      <c r="P43" s="298">
        <v>1262</v>
      </c>
      <c r="Q43" s="298">
        <v>1193</v>
      </c>
      <c r="R43" s="298">
        <v>1274</v>
      </c>
      <c r="S43" s="298">
        <v>778</v>
      </c>
      <c r="T43" s="298">
        <v>584</v>
      </c>
      <c r="U43" s="298">
        <v>475</v>
      </c>
      <c r="V43" s="298">
        <v>977</v>
      </c>
      <c r="X43" s="298">
        <f t="shared" si="12"/>
        <v>1272</v>
      </c>
      <c r="Y43" s="298">
        <f t="shared" si="13"/>
        <v>1373</v>
      </c>
      <c r="Z43" s="298">
        <f t="shared" si="14"/>
        <v>1359</v>
      </c>
      <c r="AA43" s="298">
        <f t="shared" si="15"/>
        <v>1219</v>
      </c>
      <c r="AB43" s="298">
        <f t="shared" si="16"/>
        <v>1230</v>
      </c>
      <c r="AC43" s="298">
        <f t="shared" si="17"/>
        <v>1265</v>
      </c>
      <c r="AD43" s="298">
        <f t="shared" si="18"/>
        <v>1196</v>
      </c>
      <c r="AE43" s="298">
        <f t="shared" si="19"/>
        <v>1277</v>
      </c>
      <c r="AF43" s="298">
        <f t="shared" si="20"/>
        <v>780</v>
      </c>
      <c r="AG43" s="298">
        <f t="shared" si="21"/>
        <v>585</v>
      </c>
      <c r="AH43" s="298">
        <f t="shared" si="22"/>
        <v>476</v>
      </c>
      <c r="AI43" s="298">
        <f t="shared" si="23"/>
        <v>979</v>
      </c>
      <c r="AK43" s="309"/>
      <c r="AM43" s="309"/>
    </row>
    <row r="44" spans="1:39" ht="15">
      <c r="A44" s="288">
        <v>37</v>
      </c>
      <c r="B44" s="288">
        <v>10331</v>
      </c>
      <c r="C44" s="295" t="s">
        <v>485</v>
      </c>
      <c r="D44" s="297">
        <v>38.633000000000003</v>
      </c>
      <c r="E44" s="288">
        <v>4.9729999999999999</v>
      </c>
      <c r="F44" s="288" t="s">
        <v>106</v>
      </c>
      <c r="G44" s="288">
        <v>37.148000000000003</v>
      </c>
      <c r="K44" s="298">
        <v>5973</v>
      </c>
      <c r="L44" s="298">
        <v>6812</v>
      </c>
      <c r="M44" s="298">
        <v>5573</v>
      </c>
      <c r="N44" s="298">
        <v>5878</v>
      </c>
      <c r="O44" s="298">
        <v>6659</v>
      </c>
      <c r="P44" s="298">
        <v>5325</v>
      </c>
      <c r="Q44" s="298">
        <v>10034</v>
      </c>
      <c r="R44" s="298">
        <v>16912</v>
      </c>
      <c r="S44" s="298">
        <v>13677</v>
      </c>
      <c r="T44" s="298">
        <v>2402</v>
      </c>
      <c r="U44" s="298">
        <v>0</v>
      </c>
      <c r="V44" s="298">
        <v>10629</v>
      </c>
      <c r="X44" s="298">
        <f t="shared" si="12"/>
        <v>6592</v>
      </c>
      <c r="Y44" s="298">
        <f t="shared" si="13"/>
        <v>7518</v>
      </c>
      <c r="Z44" s="298">
        <f t="shared" si="14"/>
        <v>6150</v>
      </c>
      <c r="AA44" s="298">
        <f t="shared" si="15"/>
        <v>6487</v>
      </c>
      <c r="AB44" s="298">
        <f t="shared" si="16"/>
        <v>7349</v>
      </c>
      <c r="AC44" s="298">
        <f t="shared" si="17"/>
        <v>5877</v>
      </c>
      <c r="AD44" s="298">
        <f t="shared" si="18"/>
        <v>11074</v>
      </c>
      <c r="AE44" s="298">
        <f t="shared" si="19"/>
        <v>18664</v>
      </c>
      <c r="AF44" s="298">
        <f t="shared" si="20"/>
        <v>15094</v>
      </c>
      <c r="AG44" s="298">
        <f t="shared" si="21"/>
        <v>2651</v>
      </c>
      <c r="AH44" s="298">
        <f t="shared" si="22"/>
        <v>0</v>
      </c>
      <c r="AI44" s="298">
        <f t="shared" si="23"/>
        <v>11730</v>
      </c>
      <c r="AK44" s="309"/>
      <c r="AM44" s="309"/>
    </row>
    <row r="45" spans="1:39" ht="15">
      <c r="A45" s="288">
        <v>38</v>
      </c>
      <c r="B45" s="288">
        <v>10342</v>
      </c>
      <c r="C45" s="295" t="s">
        <v>47</v>
      </c>
      <c r="D45" s="297">
        <v>39.975999999999999</v>
      </c>
      <c r="E45" s="288">
        <v>0.70799999999999996</v>
      </c>
      <c r="F45" s="288" t="s">
        <v>106</v>
      </c>
      <c r="G45" s="288">
        <v>39.268000000000001</v>
      </c>
      <c r="K45" s="298">
        <v>6108</v>
      </c>
      <c r="L45" s="298">
        <v>10691</v>
      </c>
      <c r="M45" s="298">
        <v>8970</v>
      </c>
      <c r="N45" s="298">
        <v>8246</v>
      </c>
      <c r="O45" s="298">
        <v>9487</v>
      </c>
      <c r="P45" s="298">
        <v>7067</v>
      </c>
      <c r="Q45" s="298">
        <v>8000</v>
      </c>
      <c r="R45" s="298">
        <v>7378</v>
      </c>
      <c r="S45" s="298">
        <v>9575</v>
      </c>
      <c r="T45" s="298">
        <v>14687</v>
      </c>
      <c r="U45" s="298">
        <v>11468</v>
      </c>
      <c r="V45" s="298">
        <v>7230</v>
      </c>
      <c r="X45" s="298">
        <f t="shared" si="12"/>
        <v>6108</v>
      </c>
      <c r="Y45" s="298">
        <f t="shared" si="13"/>
        <v>10691</v>
      </c>
      <c r="Z45" s="298">
        <f t="shared" si="14"/>
        <v>8970</v>
      </c>
      <c r="AA45" s="298">
        <f t="shared" si="15"/>
        <v>8246</v>
      </c>
      <c r="AB45" s="298">
        <f t="shared" si="16"/>
        <v>9487</v>
      </c>
      <c r="AC45" s="298">
        <f t="shared" si="17"/>
        <v>7067</v>
      </c>
      <c r="AD45" s="298">
        <f t="shared" si="18"/>
        <v>8000</v>
      </c>
      <c r="AE45" s="298">
        <f t="shared" si="19"/>
        <v>7378</v>
      </c>
      <c r="AF45" s="298">
        <f t="shared" si="20"/>
        <v>9575</v>
      </c>
      <c r="AG45" s="298">
        <f t="shared" si="21"/>
        <v>14687</v>
      </c>
      <c r="AH45" s="298">
        <f t="shared" si="22"/>
        <v>11468</v>
      </c>
      <c r="AI45" s="298">
        <f t="shared" si="23"/>
        <v>7230</v>
      </c>
      <c r="AK45" s="309"/>
      <c r="AM45" s="309"/>
    </row>
    <row r="46" spans="1:39" ht="15">
      <c r="A46" s="288">
        <v>39</v>
      </c>
      <c r="B46" s="288">
        <v>10094</v>
      </c>
      <c r="C46" s="295" t="s">
        <v>50</v>
      </c>
      <c r="D46" s="297">
        <v>3.1030000000000002</v>
      </c>
      <c r="E46" s="288">
        <v>8.5000000000000006E-2</v>
      </c>
      <c r="F46" s="288" t="s">
        <v>106</v>
      </c>
      <c r="G46" s="288">
        <v>3.0820000000000003</v>
      </c>
      <c r="K46" s="298">
        <v>364</v>
      </c>
      <c r="L46" s="298">
        <v>763</v>
      </c>
      <c r="M46" s="298">
        <v>530</v>
      </c>
      <c r="N46" s="298">
        <v>297</v>
      </c>
      <c r="O46" s="298">
        <v>462</v>
      </c>
      <c r="P46" s="298">
        <v>337</v>
      </c>
      <c r="Q46" s="298">
        <v>399</v>
      </c>
      <c r="R46" s="298">
        <v>300</v>
      </c>
      <c r="S46" s="298">
        <v>357</v>
      </c>
      <c r="T46" s="298">
        <v>341</v>
      </c>
      <c r="U46" s="298">
        <v>338</v>
      </c>
      <c r="V46" s="298">
        <v>250</v>
      </c>
      <c r="X46" s="298">
        <f t="shared" si="12"/>
        <v>372</v>
      </c>
      <c r="Y46" s="298">
        <f t="shared" si="13"/>
        <v>779</v>
      </c>
      <c r="Z46" s="298">
        <f t="shared" si="14"/>
        <v>541</v>
      </c>
      <c r="AA46" s="298">
        <f t="shared" si="15"/>
        <v>303</v>
      </c>
      <c r="AB46" s="298">
        <f t="shared" si="16"/>
        <v>472</v>
      </c>
      <c r="AC46" s="298">
        <f t="shared" si="17"/>
        <v>344</v>
      </c>
      <c r="AD46" s="298">
        <f t="shared" si="18"/>
        <v>407</v>
      </c>
      <c r="AE46" s="298">
        <f t="shared" si="19"/>
        <v>306</v>
      </c>
      <c r="AF46" s="298">
        <f t="shared" si="20"/>
        <v>365</v>
      </c>
      <c r="AG46" s="298">
        <f t="shared" si="21"/>
        <v>348</v>
      </c>
      <c r="AH46" s="298">
        <f t="shared" si="22"/>
        <v>345</v>
      </c>
      <c r="AI46" s="298">
        <f t="shared" si="23"/>
        <v>255</v>
      </c>
      <c r="AK46" s="309"/>
      <c r="AM46" s="309"/>
    </row>
    <row r="47" spans="1:39" ht="15">
      <c r="A47" s="288">
        <v>40</v>
      </c>
      <c r="B47" s="288">
        <v>10448</v>
      </c>
      <c r="C47" s="295" t="s">
        <v>52</v>
      </c>
      <c r="D47" s="297">
        <v>8.7349999999999994</v>
      </c>
      <c r="E47" s="288">
        <v>0.127</v>
      </c>
      <c r="F47" s="288" t="s">
        <v>106</v>
      </c>
      <c r="G47" s="288">
        <v>8.6079999999999988</v>
      </c>
      <c r="K47" s="298">
        <v>2428</v>
      </c>
      <c r="L47" s="298">
        <v>3754</v>
      </c>
      <c r="M47" s="298">
        <v>2570</v>
      </c>
      <c r="N47" s="298">
        <v>3042</v>
      </c>
      <c r="O47" s="298">
        <v>2837</v>
      </c>
      <c r="P47" s="298">
        <v>1936</v>
      </c>
      <c r="Q47" s="298">
        <v>2779</v>
      </c>
      <c r="R47" s="298">
        <v>2400</v>
      </c>
      <c r="S47" s="298">
        <v>1274</v>
      </c>
      <c r="T47" s="298">
        <v>1331</v>
      </c>
      <c r="U47" s="298">
        <v>897</v>
      </c>
      <c r="V47" s="298">
        <v>1975</v>
      </c>
      <c r="X47" s="298">
        <f t="shared" si="12"/>
        <v>2428</v>
      </c>
      <c r="Y47" s="298">
        <f t="shared" si="13"/>
        <v>3754</v>
      </c>
      <c r="Z47" s="298">
        <f t="shared" si="14"/>
        <v>2570</v>
      </c>
      <c r="AA47" s="298">
        <f t="shared" si="15"/>
        <v>3042</v>
      </c>
      <c r="AB47" s="298">
        <f t="shared" si="16"/>
        <v>2837</v>
      </c>
      <c r="AC47" s="298">
        <f t="shared" si="17"/>
        <v>1936</v>
      </c>
      <c r="AD47" s="298">
        <f t="shared" si="18"/>
        <v>2779</v>
      </c>
      <c r="AE47" s="298">
        <f t="shared" si="19"/>
        <v>2400</v>
      </c>
      <c r="AF47" s="298">
        <f t="shared" si="20"/>
        <v>1274</v>
      </c>
      <c r="AG47" s="298">
        <f t="shared" si="21"/>
        <v>1331</v>
      </c>
      <c r="AH47" s="298">
        <f t="shared" si="22"/>
        <v>897</v>
      </c>
      <c r="AI47" s="298">
        <f t="shared" si="23"/>
        <v>1975</v>
      </c>
      <c r="AK47" s="309"/>
      <c r="AM47" s="309"/>
    </row>
    <row r="48" spans="1:39" ht="15">
      <c r="A48" s="288">
        <v>41</v>
      </c>
      <c r="B48" s="288">
        <v>10502</v>
      </c>
      <c r="C48" s="295" t="s">
        <v>486</v>
      </c>
      <c r="D48" s="297">
        <v>6.8419999999999996</v>
      </c>
      <c r="E48" s="288">
        <v>3.2000000000000001E-2</v>
      </c>
      <c r="F48" s="288" t="s">
        <v>106</v>
      </c>
      <c r="G48" s="288">
        <v>10.07</v>
      </c>
      <c r="K48" s="298">
        <v>2949</v>
      </c>
      <c r="L48" s="298">
        <v>1528</v>
      </c>
      <c r="M48" s="298">
        <v>1983</v>
      </c>
      <c r="N48" s="298">
        <v>1560</v>
      </c>
      <c r="O48" s="298">
        <v>1400</v>
      </c>
      <c r="P48" s="298">
        <v>1963</v>
      </c>
      <c r="Q48" s="298">
        <v>2201</v>
      </c>
      <c r="R48" s="298">
        <v>1065</v>
      </c>
      <c r="S48" s="298">
        <v>1866</v>
      </c>
      <c r="T48" s="298">
        <v>1273</v>
      </c>
      <c r="U48" s="298">
        <v>1338</v>
      </c>
      <c r="V48" s="298">
        <v>1408</v>
      </c>
      <c r="X48" s="299">
        <f t="shared" ref="X48:Z48" si="24">K48</f>
        <v>2949</v>
      </c>
      <c r="Y48" s="299">
        <f t="shared" si="24"/>
        <v>1528</v>
      </c>
      <c r="Z48" s="299">
        <f t="shared" si="24"/>
        <v>1983</v>
      </c>
      <c r="AA48" s="299">
        <f>N48</f>
        <v>1560</v>
      </c>
      <c r="AB48" s="299">
        <f t="shared" ref="AB48:AI48" si="25">O48</f>
        <v>1400</v>
      </c>
      <c r="AC48" s="299">
        <f t="shared" si="25"/>
        <v>1963</v>
      </c>
      <c r="AD48" s="299">
        <f t="shared" si="25"/>
        <v>2201</v>
      </c>
      <c r="AE48" s="299">
        <f t="shared" si="25"/>
        <v>1065</v>
      </c>
      <c r="AF48" s="299">
        <f t="shared" si="25"/>
        <v>1866</v>
      </c>
      <c r="AG48" s="299">
        <f t="shared" si="25"/>
        <v>1273</v>
      </c>
      <c r="AH48" s="299">
        <f t="shared" si="25"/>
        <v>1338</v>
      </c>
      <c r="AI48" s="299">
        <f t="shared" si="25"/>
        <v>1408</v>
      </c>
      <c r="AK48" s="309"/>
      <c r="AL48" s="300"/>
      <c r="AM48" s="309"/>
    </row>
    <row r="49" spans="1:39" s="293" customFormat="1" ht="28.5" customHeight="1">
      <c r="C49" s="293" t="s">
        <v>487</v>
      </c>
      <c r="D49" s="301">
        <v>1.8460000000000001</v>
      </c>
      <c r="E49" s="293">
        <v>3.2000000000000001E-2</v>
      </c>
      <c r="G49" s="293">
        <v>1.8460000000000001</v>
      </c>
      <c r="J49" s="288"/>
      <c r="K49" s="302">
        <v>1253</v>
      </c>
      <c r="L49" s="302">
        <v>25</v>
      </c>
      <c r="M49" s="302">
        <v>5</v>
      </c>
      <c r="N49" s="302">
        <v>79</v>
      </c>
      <c r="O49" s="302">
        <v>106</v>
      </c>
      <c r="P49" s="302">
        <v>475</v>
      </c>
      <c r="Q49" s="302">
        <v>792</v>
      </c>
      <c r="R49" s="302">
        <v>0</v>
      </c>
      <c r="S49" s="302">
        <v>415</v>
      </c>
      <c r="T49" s="302">
        <v>0</v>
      </c>
      <c r="U49" s="302">
        <v>13</v>
      </c>
      <c r="V49" s="302">
        <v>141</v>
      </c>
      <c r="X49" s="298"/>
      <c r="Y49" s="298"/>
      <c r="Z49" s="298"/>
      <c r="AA49" s="298"/>
      <c r="AB49" s="298"/>
      <c r="AC49" s="298"/>
      <c r="AD49" s="298"/>
      <c r="AE49" s="298"/>
      <c r="AF49" s="298"/>
      <c r="AG49" s="298"/>
      <c r="AH49" s="298"/>
      <c r="AI49" s="298"/>
      <c r="AK49" s="309"/>
      <c r="AM49" s="309"/>
    </row>
    <row r="50" spans="1:39" s="293" customFormat="1" ht="15">
      <c r="C50" s="293" t="s">
        <v>488</v>
      </c>
      <c r="D50" s="301"/>
      <c r="K50" s="302"/>
      <c r="L50" s="302"/>
      <c r="M50" s="302"/>
      <c r="N50" s="302"/>
      <c r="O50" s="302"/>
      <c r="P50" s="302"/>
      <c r="Q50" s="302"/>
      <c r="R50" s="302"/>
      <c r="S50" s="302"/>
      <c r="T50" s="302"/>
      <c r="U50" s="302"/>
      <c r="V50" s="302"/>
      <c r="X50" s="299">
        <f t="shared" ref="X50:AI50" si="26">ROUND($G49/($D49-$E49)*K49-K49,0)</f>
        <v>22</v>
      </c>
      <c r="Y50" s="299">
        <f t="shared" si="26"/>
        <v>0</v>
      </c>
      <c r="Z50" s="299">
        <f t="shared" si="26"/>
        <v>0</v>
      </c>
      <c r="AA50" s="299">
        <f t="shared" si="26"/>
        <v>1</v>
      </c>
      <c r="AB50" s="299">
        <f t="shared" si="26"/>
        <v>2</v>
      </c>
      <c r="AC50" s="299">
        <f t="shared" si="26"/>
        <v>8</v>
      </c>
      <c r="AD50" s="299">
        <f t="shared" si="26"/>
        <v>14</v>
      </c>
      <c r="AE50" s="299">
        <f t="shared" si="26"/>
        <v>0</v>
      </c>
      <c r="AF50" s="299">
        <f t="shared" si="26"/>
        <v>7</v>
      </c>
      <c r="AG50" s="299">
        <f t="shared" si="26"/>
        <v>0</v>
      </c>
      <c r="AH50" s="299">
        <f t="shared" si="26"/>
        <v>0</v>
      </c>
      <c r="AI50" s="299">
        <f t="shared" si="26"/>
        <v>2</v>
      </c>
      <c r="AK50" s="309"/>
      <c r="AL50" s="300"/>
      <c r="AM50" s="309"/>
    </row>
    <row r="51" spans="1:39" s="293" customFormat="1" ht="22.5" customHeight="1">
      <c r="C51" s="295" t="s">
        <v>489</v>
      </c>
      <c r="D51" s="301"/>
      <c r="K51" s="302"/>
      <c r="L51" s="302"/>
      <c r="M51" s="302"/>
      <c r="N51" s="302"/>
      <c r="O51" s="302"/>
      <c r="P51" s="302"/>
      <c r="Q51" s="302"/>
      <c r="R51" s="302"/>
      <c r="S51" s="302"/>
      <c r="T51" s="302"/>
      <c r="U51" s="302"/>
      <c r="V51" s="302"/>
      <c r="X51" s="298">
        <f>ROUND(X48+X50,0)</f>
        <v>2971</v>
      </c>
      <c r="Y51" s="298">
        <f t="shared" ref="Y51:AI51" si="27">ROUND(Y48+Y50,0)</f>
        <v>1528</v>
      </c>
      <c r="Z51" s="298">
        <f t="shared" si="27"/>
        <v>1983</v>
      </c>
      <c r="AA51" s="298">
        <f t="shared" si="27"/>
        <v>1561</v>
      </c>
      <c r="AB51" s="298">
        <f t="shared" si="27"/>
        <v>1402</v>
      </c>
      <c r="AC51" s="298">
        <f t="shared" si="27"/>
        <v>1971</v>
      </c>
      <c r="AD51" s="298">
        <f t="shared" si="27"/>
        <v>2215</v>
      </c>
      <c r="AE51" s="298">
        <f t="shared" si="27"/>
        <v>1065</v>
      </c>
      <c r="AF51" s="298">
        <f t="shared" si="27"/>
        <v>1873</v>
      </c>
      <c r="AG51" s="298">
        <f t="shared" si="27"/>
        <v>1273</v>
      </c>
      <c r="AH51" s="298">
        <f t="shared" si="27"/>
        <v>1338</v>
      </c>
      <c r="AI51" s="298">
        <f t="shared" si="27"/>
        <v>1410</v>
      </c>
      <c r="AK51" s="309"/>
      <c r="AL51" s="300"/>
      <c r="AM51" s="309"/>
    </row>
    <row r="52" spans="1:39" ht="22.5" customHeight="1">
      <c r="A52" s="288">
        <v>42</v>
      </c>
      <c r="B52" s="288">
        <v>99999</v>
      </c>
      <c r="C52" s="295" t="s">
        <v>490</v>
      </c>
      <c r="D52" s="301">
        <v>515.92499999999995</v>
      </c>
      <c r="E52" s="288">
        <f>E53</f>
        <v>9.3520000000000003</v>
      </c>
      <c r="G52" s="297">
        <f>D52-E52+(G53-(D53-E53))</f>
        <v>512.96800000000007</v>
      </c>
      <c r="K52" s="303">
        <v>138896</v>
      </c>
      <c r="L52" s="303">
        <v>175002</v>
      </c>
      <c r="M52" s="303">
        <v>135564</v>
      </c>
      <c r="N52" s="303">
        <v>148651</v>
      </c>
      <c r="O52" s="303">
        <v>196533</v>
      </c>
      <c r="P52" s="303">
        <v>135103</v>
      </c>
      <c r="Q52" s="303">
        <v>132966</v>
      </c>
      <c r="R52" s="303">
        <v>66365</v>
      </c>
      <c r="S52" s="303">
        <v>43826</v>
      </c>
      <c r="T52" s="303">
        <v>39622</v>
      </c>
      <c r="U52" s="303">
        <v>25160</v>
      </c>
      <c r="V52" s="303">
        <v>43210</v>
      </c>
      <c r="X52" s="298">
        <f>ROUND($G52/($D52-$E52)*K52,0)</f>
        <v>140649</v>
      </c>
      <c r="Y52" s="298">
        <f t="shared" ref="Y52:AB52" si="28">ROUND($G52/($D52-$E52)*L52,0)</f>
        <v>177211</v>
      </c>
      <c r="Z52" s="298">
        <f t="shared" si="28"/>
        <v>137275</v>
      </c>
      <c r="AA52" s="298">
        <f t="shared" si="28"/>
        <v>150528</v>
      </c>
      <c r="AB52" s="298">
        <f t="shared" si="28"/>
        <v>199014</v>
      </c>
      <c r="AC52" s="298">
        <f t="shared" ref="AC52" si="29">ROUND($G52/($D52-$E52)*P52,0)</f>
        <v>136809</v>
      </c>
      <c r="AD52" s="298">
        <f t="shared" ref="AD52" si="30">ROUND($G52/($D52-$E52)*Q52,0)</f>
        <v>134645</v>
      </c>
      <c r="AE52" s="298">
        <f t="shared" ref="AE52:AF52" si="31">ROUND($G52/($D52-$E52)*R52,0)</f>
        <v>67203</v>
      </c>
      <c r="AF52" s="298">
        <f t="shared" si="31"/>
        <v>44379</v>
      </c>
      <c r="AG52" s="298">
        <f t="shared" ref="AG52" si="32">ROUND($G52/($D52-$E52)*T52,0)</f>
        <v>40122</v>
      </c>
      <c r="AH52" s="298">
        <f t="shared" ref="AH52" si="33">ROUND($G52/($D52-$E52)*U52,0)</f>
        <v>25478</v>
      </c>
      <c r="AI52" s="298">
        <f t="shared" ref="AI52" si="34">ROUND($G52/($D52-$E52)*V52,0)</f>
        <v>43755</v>
      </c>
      <c r="AK52" s="309"/>
      <c r="AM52" s="309"/>
    </row>
    <row r="53" spans="1:39" ht="22.5" customHeight="1">
      <c r="C53" s="295" t="s">
        <v>491</v>
      </c>
      <c r="D53" s="297">
        <f>D12+D16+D18+D21+D32+D44+D47</f>
        <v>165.33499999999998</v>
      </c>
      <c r="E53" s="288">
        <f>E12+E16+E18+E21+E32+E44+E47</f>
        <v>9.3520000000000003</v>
      </c>
      <c r="G53" s="288">
        <f>G12+G16+G18+G21+G32+G44+G47</f>
        <v>162.37800000000001</v>
      </c>
    </row>
    <row r="54" spans="1:39">
      <c r="C54" s="295"/>
    </row>
    <row r="56" spans="1:39">
      <c r="X56" s="304"/>
      <c r="Y56" s="304"/>
      <c r="Z56" s="304"/>
      <c r="AA56" s="304"/>
      <c r="AB56" s="304"/>
      <c r="AC56" s="304"/>
      <c r="AD56" s="304"/>
      <c r="AE56" s="304"/>
      <c r="AF56" s="304"/>
      <c r="AG56" s="304"/>
      <c r="AH56" s="304"/>
      <c r="AI56" s="304"/>
      <c r="AJ56" s="304"/>
      <c r="AK56" s="304"/>
    </row>
    <row r="57" spans="1:39">
      <c r="W57" s="292"/>
      <c r="X57" s="304"/>
      <c r="Y57" s="304"/>
      <c r="Z57" s="304"/>
      <c r="AA57" s="304"/>
      <c r="AB57" s="304"/>
      <c r="AC57" s="304"/>
      <c r="AD57" s="304"/>
      <c r="AE57" s="304"/>
      <c r="AF57" s="304"/>
      <c r="AG57" s="304"/>
      <c r="AH57" s="304"/>
      <c r="AI57" s="304"/>
      <c r="AJ57" s="304"/>
      <c r="AK57" s="304"/>
      <c r="AL57" s="305"/>
    </row>
    <row r="58" spans="1:39">
      <c r="W58" s="292"/>
      <c r="X58" s="304"/>
      <c r="Y58" s="304"/>
      <c r="Z58" s="304"/>
      <c r="AA58" s="304"/>
      <c r="AB58" s="304"/>
      <c r="AC58" s="304"/>
      <c r="AD58" s="304"/>
      <c r="AE58" s="304"/>
      <c r="AF58" s="304"/>
      <c r="AG58" s="304"/>
      <c r="AH58" s="304"/>
      <c r="AI58" s="304"/>
      <c r="AJ58" s="304"/>
      <c r="AK58" s="304"/>
    </row>
    <row r="59" spans="1:39">
      <c r="B59" s="295"/>
      <c r="X59" s="304"/>
      <c r="Y59" s="304"/>
      <c r="Z59" s="304"/>
      <c r="AA59" s="304"/>
      <c r="AB59" s="304"/>
      <c r="AC59" s="304"/>
      <c r="AD59" s="304"/>
      <c r="AE59" s="304"/>
      <c r="AF59" s="304"/>
      <c r="AG59" s="304"/>
      <c r="AH59" s="304"/>
      <c r="AI59" s="304"/>
      <c r="AJ59" s="304"/>
      <c r="AK59" s="304"/>
    </row>
    <row r="60" spans="1:39">
      <c r="B60" s="295"/>
      <c r="X60" s="304"/>
      <c r="Y60" s="304"/>
      <c r="Z60" s="304"/>
      <c r="AA60" s="304"/>
      <c r="AB60" s="304"/>
      <c r="AC60" s="304"/>
      <c r="AD60" s="304"/>
      <c r="AE60" s="304"/>
      <c r="AF60" s="304"/>
      <c r="AG60" s="304"/>
      <c r="AH60" s="304"/>
      <c r="AI60" s="304"/>
      <c r="AJ60" s="304"/>
      <c r="AK60" s="304"/>
    </row>
    <row r="61" spans="1:39">
      <c r="X61" s="304"/>
      <c r="Y61" s="304"/>
      <c r="Z61" s="304"/>
      <c r="AA61" s="304"/>
      <c r="AB61" s="304"/>
      <c r="AC61" s="304"/>
      <c r="AD61" s="304"/>
      <c r="AE61" s="304"/>
      <c r="AF61" s="304"/>
      <c r="AG61" s="304"/>
      <c r="AH61" s="304"/>
      <c r="AI61" s="304"/>
      <c r="AJ61" s="304"/>
      <c r="AK61" s="304"/>
    </row>
    <row r="62" spans="1:39">
      <c r="X62" s="304"/>
      <c r="Y62" s="304"/>
      <c r="Z62" s="304"/>
      <c r="AA62" s="304"/>
      <c r="AB62" s="304"/>
      <c r="AC62" s="304"/>
      <c r="AD62" s="304"/>
      <c r="AE62" s="304"/>
      <c r="AF62" s="304"/>
      <c r="AG62" s="304"/>
      <c r="AH62" s="304"/>
      <c r="AI62" s="304"/>
      <c r="AJ62" s="304"/>
      <c r="AK62" s="304"/>
    </row>
    <row r="63" spans="1:39">
      <c r="X63" s="304"/>
      <c r="Y63" s="304"/>
      <c r="Z63" s="304"/>
      <c r="AA63" s="304"/>
      <c r="AB63" s="304"/>
      <c r="AC63" s="304"/>
      <c r="AD63" s="304"/>
      <c r="AE63" s="304"/>
      <c r="AF63" s="304"/>
      <c r="AG63" s="304"/>
      <c r="AH63" s="304"/>
      <c r="AI63" s="304"/>
      <c r="AJ63" s="304"/>
      <c r="AK63" s="30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zoomScaleNormal="100" workbookViewId="0"/>
  </sheetViews>
  <sheetFormatPr defaultRowHeight="12.75"/>
  <cols>
    <col min="1" max="1" width="4.42578125" style="205" customWidth="1"/>
    <col min="2" max="2" width="8.85546875" style="205" customWidth="1"/>
    <col min="3" max="3" width="23.140625" style="205" customWidth="1"/>
    <col min="4" max="15" width="12.85546875" style="205" customWidth="1"/>
    <col min="16" max="17" width="9.140625" style="205"/>
    <col min="18" max="18" width="9.5703125" style="205" bestFit="1" customWidth="1"/>
    <col min="19" max="16384" width="9.140625" style="205"/>
  </cols>
  <sheetData>
    <row r="1" spans="1:18" ht="20.25">
      <c r="A1" s="265" t="s">
        <v>496</v>
      </c>
    </row>
    <row r="2" spans="1:18" ht="15">
      <c r="A2" s="328">
        <v>41736</v>
      </c>
      <c r="B2" s="328"/>
      <c r="C2" s="328"/>
    </row>
    <row r="3" spans="1:18" ht="13.5" thickBot="1">
      <c r="B3" s="264"/>
    </row>
    <row r="4" spans="1:18">
      <c r="C4" s="267"/>
      <c r="D4" s="322" t="s">
        <v>451</v>
      </c>
      <c r="E4" s="323"/>
      <c r="F4" s="323"/>
      <c r="G4" s="323"/>
      <c r="H4" s="323"/>
      <c r="I4" s="324"/>
      <c r="J4" s="325" t="s">
        <v>453</v>
      </c>
      <c r="K4" s="326"/>
      <c r="L4" s="326"/>
      <c r="M4" s="326"/>
      <c r="N4" s="326"/>
      <c r="O4" s="327"/>
    </row>
    <row r="5" spans="1:18" s="209" customFormat="1" ht="39" thickBot="1">
      <c r="B5" s="279" t="s">
        <v>0</v>
      </c>
      <c r="C5" s="280" t="s">
        <v>55</v>
      </c>
      <c r="D5" s="206" t="s">
        <v>108</v>
      </c>
      <c r="E5" s="207" t="s">
        <v>109</v>
      </c>
      <c r="F5" s="207" t="s">
        <v>434</v>
      </c>
      <c r="G5" s="207" t="s">
        <v>435</v>
      </c>
      <c r="H5" s="207" t="s">
        <v>436</v>
      </c>
      <c r="I5" s="208" t="s">
        <v>437</v>
      </c>
      <c r="J5" s="206" t="s">
        <v>439</v>
      </c>
      <c r="K5" s="207" t="s">
        <v>438</v>
      </c>
      <c r="L5" s="207" t="s">
        <v>108</v>
      </c>
      <c r="M5" s="207" t="s">
        <v>434</v>
      </c>
      <c r="N5" s="207" t="s">
        <v>436</v>
      </c>
      <c r="O5" s="208" t="s">
        <v>446</v>
      </c>
    </row>
    <row r="6" spans="1:18">
      <c r="A6" s="276">
        <v>-1</v>
      </c>
      <c r="B6" s="210">
        <v>10015</v>
      </c>
      <c r="C6" s="211" t="s">
        <v>4</v>
      </c>
      <c r="D6" s="212">
        <v>8.4900000000000004E-5</v>
      </c>
      <c r="E6" s="213">
        <v>8.4900000000000004E-5</v>
      </c>
      <c r="F6" s="213">
        <v>8.4900000000000004E-5</v>
      </c>
      <c r="G6" s="213">
        <v>8.4900000000000004E-5</v>
      </c>
      <c r="H6" s="214">
        <v>0</v>
      </c>
      <c r="I6" s="215">
        <v>0</v>
      </c>
      <c r="J6" s="216">
        <f>VLOOKUP($B6,'Retained Provisional CHWM Calcs'!$B$10:$AD$50,29,FALSE)</f>
        <v>0.57599999999999996</v>
      </c>
      <c r="K6" s="217">
        <v>0.60913744790000002</v>
      </c>
      <c r="L6" s="218">
        <f t="shared" ref="L6:L46" si="0">IF(J6="N/A",D6,ROUND((MIN(J6,K6)/$L$48),7))</f>
        <v>8.0900000000000001E-5</v>
      </c>
      <c r="M6" s="219">
        <f>L6-N6</f>
        <v>8.0900000000000001E-5</v>
      </c>
      <c r="N6" s="214">
        <f t="shared" ref="N6:N46" si="1">H6</f>
        <v>0</v>
      </c>
      <c r="O6" s="220" t="str">
        <f>IF(L6=D6,"No","Yes")</f>
        <v>Yes</v>
      </c>
      <c r="R6" s="311"/>
    </row>
    <row r="7" spans="1:18" s="232" customFormat="1">
      <c r="A7" s="277">
        <v>-2</v>
      </c>
      <c r="B7" s="221">
        <v>10029</v>
      </c>
      <c r="C7" s="222" t="s">
        <v>6</v>
      </c>
      <c r="D7" s="223">
        <v>2.4859999999999999E-3</v>
      </c>
      <c r="E7" s="224">
        <v>2.4859999999999999E-3</v>
      </c>
      <c r="F7" s="224">
        <v>2.4859999999999999E-3</v>
      </c>
      <c r="G7" s="224">
        <v>2.4859999999999999E-3</v>
      </c>
      <c r="H7" s="225">
        <v>0</v>
      </c>
      <c r="I7" s="226">
        <v>0</v>
      </c>
      <c r="J7" s="227">
        <f>VLOOKUP($B7,'Retained Provisional CHWM Calcs'!$B$10:$AD$50,29,FALSE)</f>
        <v>17.690000000000001</v>
      </c>
      <c r="K7" s="228">
        <v>17.690055306000001</v>
      </c>
      <c r="L7" s="229">
        <f t="shared" si="0"/>
        <v>2.4859999999999999E-3</v>
      </c>
      <c r="M7" s="230">
        <f t="shared" ref="M7:M46" si="2">L7-N7</f>
        <v>2.4859999999999999E-3</v>
      </c>
      <c r="N7" s="225">
        <f t="shared" si="1"/>
        <v>0</v>
      </c>
      <c r="O7" s="231" t="str">
        <f t="shared" ref="O7:O46" si="3">IF(L7=D7,"No","Yes")</f>
        <v>No</v>
      </c>
      <c r="R7" s="311"/>
    </row>
    <row r="8" spans="1:18">
      <c r="A8" s="276">
        <v>-3</v>
      </c>
      <c r="B8" s="210">
        <v>10057</v>
      </c>
      <c r="C8" s="211" t="s">
        <v>3</v>
      </c>
      <c r="D8" s="233">
        <v>2.9458000000000002E-3</v>
      </c>
      <c r="E8" s="234">
        <v>2.9732000000000001E-3</v>
      </c>
      <c r="F8" s="234">
        <v>2.9458000000000002E-3</v>
      </c>
      <c r="G8" s="234">
        <v>2.9732000000000001E-3</v>
      </c>
      <c r="H8" s="235">
        <v>0</v>
      </c>
      <c r="I8" s="236">
        <v>0</v>
      </c>
      <c r="J8" s="237">
        <f>VLOOKUP($B8,'Retained Provisional CHWM Calcs'!$B$10:$AD$50,29,FALSE)</f>
        <v>21.157</v>
      </c>
      <c r="K8" s="238">
        <v>20.961932791800002</v>
      </c>
      <c r="L8" s="239">
        <f t="shared" si="0"/>
        <v>2.9458000000000002E-3</v>
      </c>
      <c r="M8" s="240">
        <f t="shared" si="2"/>
        <v>2.9458000000000002E-3</v>
      </c>
      <c r="N8" s="235">
        <f t="shared" si="1"/>
        <v>0</v>
      </c>
      <c r="O8" s="241" t="str">
        <f t="shared" si="3"/>
        <v>No</v>
      </c>
      <c r="R8" s="311"/>
    </row>
    <row r="9" spans="1:18" s="232" customFormat="1">
      <c r="A9" s="277">
        <v>-4</v>
      </c>
      <c r="B9" s="221">
        <v>10065</v>
      </c>
      <c r="C9" s="222" t="s">
        <v>7</v>
      </c>
      <c r="D9" s="223">
        <v>3.1369999999999998E-4</v>
      </c>
      <c r="E9" s="224">
        <v>3.1369999999999998E-4</v>
      </c>
      <c r="F9" s="224">
        <v>3.1369999999999998E-4</v>
      </c>
      <c r="G9" s="224">
        <v>3.1369999999999998E-4</v>
      </c>
      <c r="H9" s="225">
        <v>0</v>
      </c>
      <c r="I9" s="226">
        <v>0</v>
      </c>
      <c r="J9" s="227">
        <f>VLOOKUP($B9,'Retained Provisional CHWM Calcs'!$B$10:$AD$50,29,FALSE)</f>
        <v>2.387</v>
      </c>
      <c r="K9" s="228">
        <v>2.2322487327</v>
      </c>
      <c r="L9" s="229">
        <f t="shared" si="0"/>
        <v>3.1369999999999998E-4</v>
      </c>
      <c r="M9" s="230">
        <f t="shared" si="2"/>
        <v>3.1369999999999998E-4</v>
      </c>
      <c r="N9" s="225">
        <f t="shared" si="1"/>
        <v>0</v>
      </c>
      <c r="O9" s="231" t="str">
        <f t="shared" si="3"/>
        <v>No</v>
      </c>
      <c r="R9" s="311"/>
    </row>
    <row r="10" spans="1:18">
      <c r="A10" s="276">
        <v>-5</v>
      </c>
      <c r="B10" s="210">
        <v>10068</v>
      </c>
      <c r="C10" s="211" t="s">
        <v>8</v>
      </c>
      <c r="D10" s="233">
        <v>3.9149999999999998E-4</v>
      </c>
      <c r="E10" s="234">
        <v>3.9310000000000001E-4</v>
      </c>
      <c r="F10" s="234">
        <v>3.9149999999999998E-4</v>
      </c>
      <c r="G10" s="234">
        <v>3.9310000000000001E-4</v>
      </c>
      <c r="H10" s="235">
        <v>0</v>
      </c>
      <c r="I10" s="236">
        <v>0</v>
      </c>
      <c r="J10" s="237">
        <f>VLOOKUP($B10,'Retained Provisional CHWM Calcs'!$B$10:$AD$50,29,FALSE)</f>
        <v>2.7810000000000001</v>
      </c>
      <c r="K10" s="238">
        <v>2.7858634964999998</v>
      </c>
      <c r="L10" s="239">
        <f t="shared" si="0"/>
        <v>3.9080000000000001E-4</v>
      </c>
      <c r="M10" s="240">
        <f t="shared" si="2"/>
        <v>3.9080000000000001E-4</v>
      </c>
      <c r="N10" s="235">
        <f t="shared" si="1"/>
        <v>0</v>
      </c>
      <c r="O10" s="241" t="str">
        <f t="shared" si="3"/>
        <v>Yes</v>
      </c>
      <c r="R10" s="311"/>
    </row>
    <row r="11" spans="1:18" s="232" customFormat="1">
      <c r="A11" s="277">
        <v>-6</v>
      </c>
      <c r="B11" s="221">
        <v>10070</v>
      </c>
      <c r="C11" s="222" t="s">
        <v>16</v>
      </c>
      <c r="D11" s="223">
        <v>5.0599999999999997E-5</v>
      </c>
      <c r="E11" s="224">
        <v>5.0599999999999997E-5</v>
      </c>
      <c r="F11" s="224">
        <v>5.0599999999999997E-5</v>
      </c>
      <c r="G11" s="224">
        <v>5.0599999999999997E-5</v>
      </c>
      <c r="H11" s="225">
        <v>0</v>
      </c>
      <c r="I11" s="226">
        <v>0</v>
      </c>
      <c r="J11" s="227">
        <f>VLOOKUP($B11,'Retained Provisional CHWM Calcs'!$B$10:$AD$50,29,FALSE)</f>
        <v>0.36</v>
      </c>
      <c r="K11" s="228">
        <v>0.37106307259999999</v>
      </c>
      <c r="L11" s="229">
        <f t="shared" si="0"/>
        <v>5.0599999999999997E-5</v>
      </c>
      <c r="M11" s="230">
        <f t="shared" si="2"/>
        <v>5.0599999999999997E-5</v>
      </c>
      <c r="N11" s="225">
        <f t="shared" si="1"/>
        <v>0</v>
      </c>
      <c r="O11" s="231" t="str">
        <f t="shared" si="3"/>
        <v>No</v>
      </c>
      <c r="R11" s="311"/>
    </row>
    <row r="12" spans="1:18">
      <c r="A12" s="276">
        <v>-7</v>
      </c>
      <c r="B12" s="210">
        <v>10071</v>
      </c>
      <c r="C12" s="211" t="s">
        <v>18</v>
      </c>
      <c r="D12" s="233">
        <v>2.7900000000000001E-4</v>
      </c>
      <c r="E12" s="234">
        <v>2.8019999999999998E-4</v>
      </c>
      <c r="F12" s="234">
        <v>2.7900000000000001E-4</v>
      </c>
      <c r="G12" s="234">
        <v>2.8019999999999998E-4</v>
      </c>
      <c r="H12" s="235">
        <v>0</v>
      </c>
      <c r="I12" s="236">
        <v>0</v>
      </c>
      <c r="J12" s="237">
        <f>VLOOKUP($B12,'Retained Provisional CHWM Calcs'!$B$10:$AD$50,29,FALSE)</f>
        <v>1.9219999999999999</v>
      </c>
      <c r="K12" s="238">
        <v>1.9853280090000001</v>
      </c>
      <c r="L12" s="239">
        <f t="shared" si="0"/>
        <v>2.7010000000000001E-4</v>
      </c>
      <c r="M12" s="240">
        <f t="shared" si="2"/>
        <v>2.7010000000000001E-4</v>
      </c>
      <c r="N12" s="235">
        <f t="shared" si="1"/>
        <v>0</v>
      </c>
      <c r="O12" s="241" t="str">
        <f t="shared" si="3"/>
        <v>Yes</v>
      </c>
      <c r="R12" s="311"/>
    </row>
    <row r="13" spans="1:18" s="232" customFormat="1">
      <c r="A13" s="277">
        <v>-8</v>
      </c>
      <c r="B13" s="221">
        <v>10072</v>
      </c>
      <c r="C13" s="222" t="s">
        <v>19</v>
      </c>
      <c r="D13" s="223">
        <v>3.3842999999999998E-3</v>
      </c>
      <c r="E13" s="224">
        <v>3.3842999999999998E-3</v>
      </c>
      <c r="F13" s="224">
        <v>3.3842999999999998E-3</v>
      </c>
      <c r="G13" s="224">
        <v>3.3842999999999998E-3</v>
      </c>
      <c r="H13" s="225">
        <v>0</v>
      </c>
      <c r="I13" s="226">
        <v>0</v>
      </c>
      <c r="J13" s="227">
        <f>VLOOKUP($B13,'Retained Provisional CHWM Calcs'!$B$10:$AD$50,29,FALSE)</f>
        <v>24.082000000000001</v>
      </c>
      <c r="K13" s="228">
        <v>24.436242225299999</v>
      </c>
      <c r="L13" s="229">
        <f t="shared" si="0"/>
        <v>3.3842999999999998E-3</v>
      </c>
      <c r="M13" s="230">
        <f t="shared" si="2"/>
        <v>3.3842999999999998E-3</v>
      </c>
      <c r="N13" s="225">
        <f t="shared" si="1"/>
        <v>0</v>
      </c>
      <c r="O13" s="231" t="str">
        <f t="shared" si="3"/>
        <v>No</v>
      </c>
      <c r="R13" s="311"/>
    </row>
    <row r="14" spans="1:18">
      <c r="A14" s="276">
        <v>-9</v>
      </c>
      <c r="B14" s="210">
        <v>10074</v>
      </c>
      <c r="C14" s="211" t="s">
        <v>25</v>
      </c>
      <c r="D14" s="233">
        <v>3.5723E-3</v>
      </c>
      <c r="E14" s="234">
        <v>3.6857000000000001E-3</v>
      </c>
      <c r="F14" s="234">
        <v>3.5723E-3</v>
      </c>
      <c r="G14" s="234">
        <v>3.6857000000000001E-3</v>
      </c>
      <c r="H14" s="235">
        <v>0</v>
      </c>
      <c r="I14" s="236">
        <v>0</v>
      </c>
      <c r="J14" s="237">
        <f>VLOOKUP($B14,'Retained Provisional CHWM Calcs'!$B$10:$AD$50,29,FALSE)</f>
        <v>26.792999999999999</v>
      </c>
      <c r="K14" s="238">
        <v>25.4200259733</v>
      </c>
      <c r="L14" s="239">
        <f t="shared" si="0"/>
        <v>3.5723E-3</v>
      </c>
      <c r="M14" s="240">
        <f t="shared" si="2"/>
        <v>3.5723E-3</v>
      </c>
      <c r="N14" s="235">
        <f t="shared" si="1"/>
        <v>0</v>
      </c>
      <c r="O14" s="241" t="str">
        <f t="shared" si="3"/>
        <v>No</v>
      </c>
      <c r="R14" s="311"/>
    </row>
    <row r="15" spans="1:18" s="232" customFormat="1">
      <c r="A15" s="277">
        <v>-10</v>
      </c>
      <c r="B15" s="221">
        <v>10078</v>
      </c>
      <c r="C15" s="222" t="s">
        <v>35</v>
      </c>
      <c r="D15" s="223">
        <v>4.9240000000000004E-4</v>
      </c>
      <c r="E15" s="224">
        <v>4.9379999999999997E-4</v>
      </c>
      <c r="F15" s="224">
        <v>4.9240000000000004E-4</v>
      </c>
      <c r="G15" s="224">
        <v>4.9379999999999997E-4</v>
      </c>
      <c r="H15" s="225">
        <v>0</v>
      </c>
      <c r="I15" s="226">
        <v>0</v>
      </c>
      <c r="J15" s="227">
        <f>VLOOKUP($B15,'Retained Provisional CHWM Calcs'!$B$10:$AD$50,29,FALSE)</f>
        <v>3.7330000000000001</v>
      </c>
      <c r="K15" s="228">
        <v>3.5038548804000005</v>
      </c>
      <c r="L15" s="229">
        <f t="shared" si="0"/>
        <v>4.9240000000000004E-4</v>
      </c>
      <c r="M15" s="230">
        <f t="shared" si="2"/>
        <v>4.9240000000000004E-4</v>
      </c>
      <c r="N15" s="225">
        <f t="shared" si="1"/>
        <v>0</v>
      </c>
      <c r="O15" s="231" t="str">
        <f t="shared" si="3"/>
        <v>No</v>
      </c>
      <c r="R15" s="311"/>
    </row>
    <row r="16" spans="1:18">
      <c r="A16" s="276">
        <v>-11</v>
      </c>
      <c r="B16" s="210">
        <v>10079</v>
      </c>
      <c r="C16" s="211" t="s">
        <v>36</v>
      </c>
      <c r="D16" s="233">
        <v>1.16936E-2</v>
      </c>
      <c r="E16" s="234">
        <v>1.1960200000000001E-2</v>
      </c>
      <c r="F16" s="234">
        <v>1.16936E-2</v>
      </c>
      <c r="G16" s="234">
        <v>1.1960200000000001E-2</v>
      </c>
      <c r="H16" s="235">
        <v>0</v>
      </c>
      <c r="I16" s="236">
        <v>0</v>
      </c>
      <c r="J16" s="237">
        <f>VLOOKUP($B16,'Retained Provisional CHWM Calcs'!$B$10:$AD$50,29,FALSE)</f>
        <v>88.546000000000006</v>
      </c>
      <c r="K16" s="238">
        <v>83.210149125599997</v>
      </c>
      <c r="L16" s="239">
        <f t="shared" si="0"/>
        <v>1.16936E-2</v>
      </c>
      <c r="M16" s="240">
        <f t="shared" si="2"/>
        <v>1.16936E-2</v>
      </c>
      <c r="N16" s="235">
        <f t="shared" si="1"/>
        <v>0</v>
      </c>
      <c r="O16" s="241" t="str">
        <f t="shared" si="3"/>
        <v>No</v>
      </c>
      <c r="R16" s="311"/>
    </row>
    <row r="17" spans="1:18" s="232" customFormat="1">
      <c r="A17" s="277">
        <v>-12</v>
      </c>
      <c r="B17" s="221">
        <v>10081</v>
      </c>
      <c r="C17" s="222" t="s">
        <v>37</v>
      </c>
      <c r="D17" s="223">
        <v>1.4085E-3</v>
      </c>
      <c r="E17" s="224">
        <v>1.423E-3</v>
      </c>
      <c r="F17" s="224">
        <v>1.4085E-3</v>
      </c>
      <c r="G17" s="224">
        <v>1.423E-3</v>
      </c>
      <c r="H17" s="225">
        <v>0</v>
      </c>
      <c r="I17" s="226">
        <v>0</v>
      </c>
      <c r="J17" s="227">
        <f>VLOOKUP($B17,'Retained Provisional CHWM Calcs'!$B$10:$AD$50,29,FALSE)</f>
        <v>10.499000000000001</v>
      </c>
      <c r="K17" s="228">
        <v>10.022704303500001</v>
      </c>
      <c r="L17" s="229">
        <f t="shared" si="0"/>
        <v>1.4085E-3</v>
      </c>
      <c r="M17" s="230">
        <f t="shared" si="2"/>
        <v>1.4085E-3</v>
      </c>
      <c r="N17" s="225">
        <f t="shared" si="1"/>
        <v>0</v>
      </c>
      <c r="O17" s="231" t="str">
        <f t="shared" si="3"/>
        <v>No</v>
      </c>
      <c r="R17" s="311"/>
    </row>
    <row r="18" spans="1:18">
      <c r="A18" s="276">
        <v>-13</v>
      </c>
      <c r="B18" s="210">
        <v>10086</v>
      </c>
      <c r="C18" s="211" t="s">
        <v>45</v>
      </c>
      <c r="D18" s="233">
        <v>5.5679999999999998E-4</v>
      </c>
      <c r="E18" s="234">
        <v>5.5679999999999998E-4</v>
      </c>
      <c r="F18" s="234">
        <v>5.5679999999999998E-4</v>
      </c>
      <c r="G18" s="234">
        <v>5.5679999999999998E-4</v>
      </c>
      <c r="H18" s="235">
        <v>0</v>
      </c>
      <c r="I18" s="236">
        <v>0</v>
      </c>
      <c r="J18" s="237">
        <f>VLOOKUP($B18,'Retained Provisional CHWM Calcs'!$B$10:$AD$50,29,FALSE)</f>
        <v>3.9620000000000002</v>
      </c>
      <c r="K18" s="238">
        <v>4.1491169727999999</v>
      </c>
      <c r="L18" s="239">
        <f t="shared" si="0"/>
        <v>5.5679999999999998E-4</v>
      </c>
      <c r="M18" s="240">
        <f t="shared" si="2"/>
        <v>5.5679999999999998E-4</v>
      </c>
      <c r="N18" s="235">
        <f t="shared" si="1"/>
        <v>0</v>
      </c>
      <c r="O18" s="241" t="str">
        <f t="shared" si="3"/>
        <v>No</v>
      </c>
      <c r="R18" s="311"/>
    </row>
    <row r="19" spans="1:18" s="232" customFormat="1">
      <c r="A19" s="277">
        <v>-14</v>
      </c>
      <c r="B19" s="221">
        <v>10094</v>
      </c>
      <c r="C19" s="222" t="s">
        <v>50</v>
      </c>
      <c r="D19" s="223">
        <v>4.1990000000000001E-4</v>
      </c>
      <c r="E19" s="224">
        <v>4.1859999999999998E-4</v>
      </c>
      <c r="F19" s="224">
        <v>4.1990000000000001E-4</v>
      </c>
      <c r="G19" s="224">
        <v>4.1859999999999998E-4</v>
      </c>
      <c r="H19" s="225">
        <v>0</v>
      </c>
      <c r="I19" s="226">
        <v>0</v>
      </c>
      <c r="J19" s="227">
        <f>VLOOKUP($B19,'Retained Provisional CHWM Calcs'!$B$10:$AD$50,29,FALSE)</f>
        <v>3.0489999999999999</v>
      </c>
      <c r="K19" s="228">
        <v>2.9879542329</v>
      </c>
      <c r="L19" s="229">
        <f t="shared" si="0"/>
        <v>4.1990000000000001E-4</v>
      </c>
      <c r="M19" s="230">
        <f t="shared" si="2"/>
        <v>4.1990000000000001E-4</v>
      </c>
      <c r="N19" s="225">
        <f t="shared" si="1"/>
        <v>0</v>
      </c>
      <c r="O19" s="231" t="str">
        <f t="shared" si="3"/>
        <v>No</v>
      </c>
      <c r="R19" s="311"/>
    </row>
    <row r="20" spans="1:18">
      <c r="A20" s="276">
        <v>-15</v>
      </c>
      <c r="B20" s="210">
        <v>10103</v>
      </c>
      <c r="C20" s="211" t="s">
        <v>9</v>
      </c>
      <c r="D20" s="233">
        <v>4.1518300000000001E-2</v>
      </c>
      <c r="E20" s="234">
        <v>4.2485299999999997E-2</v>
      </c>
      <c r="F20" s="234">
        <v>1.9658600000000002E-2</v>
      </c>
      <c r="G20" s="234">
        <v>2.0625699999999997E-2</v>
      </c>
      <c r="H20" s="242">
        <v>2.1859699999999999E-2</v>
      </c>
      <c r="I20" s="241">
        <v>2.18596E-2</v>
      </c>
      <c r="J20" s="237">
        <f>VLOOKUP($B20,'Retained Provisional CHWM Calcs'!$B$10:$AD$50,29,FALSE)</f>
        <v>319.822</v>
      </c>
      <c r="K20" s="238">
        <v>295.43900000000002</v>
      </c>
      <c r="L20" s="239">
        <f t="shared" si="0"/>
        <v>4.1518300000000001E-2</v>
      </c>
      <c r="M20" s="240">
        <f t="shared" si="2"/>
        <v>1.9658600000000002E-2</v>
      </c>
      <c r="N20" s="235">
        <f t="shared" si="1"/>
        <v>2.1859699999999999E-2</v>
      </c>
      <c r="O20" s="241" t="str">
        <f t="shared" si="3"/>
        <v>No</v>
      </c>
      <c r="R20" s="311"/>
    </row>
    <row r="21" spans="1:18" s="232" customFormat="1">
      <c r="A21" s="277">
        <v>-16</v>
      </c>
      <c r="B21" s="221">
        <v>10105</v>
      </c>
      <c r="C21" s="222" t="s">
        <v>10</v>
      </c>
      <c r="D21" s="223">
        <v>1.3205400000000001E-2</v>
      </c>
      <c r="E21" s="224">
        <v>1.3205400000000001E-2</v>
      </c>
      <c r="F21" s="224">
        <v>5.9393000000000007E-3</v>
      </c>
      <c r="G21" s="224">
        <v>5.9393000000000007E-3</v>
      </c>
      <c r="H21" s="243">
        <v>7.2661000000000002E-3</v>
      </c>
      <c r="I21" s="231">
        <v>7.2661000000000002E-3</v>
      </c>
      <c r="J21" s="227">
        <f>VLOOKUP($B21,'Retained Provisional CHWM Calcs'!$B$10:$AD$50,29,FALSE)</f>
        <v>93.224999999999994</v>
      </c>
      <c r="K21" s="228">
        <v>93.968000000000004</v>
      </c>
      <c r="L21" s="229">
        <f t="shared" si="0"/>
        <v>1.3101E-2</v>
      </c>
      <c r="M21" s="230">
        <f t="shared" si="2"/>
        <v>5.8348999999999996E-3</v>
      </c>
      <c r="N21" s="225">
        <f t="shared" si="1"/>
        <v>7.2661000000000002E-3</v>
      </c>
      <c r="O21" s="231" t="str">
        <f t="shared" si="3"/>
        <v>Yes</v>
      </c>
      <c r="R21" s="311"/>
    </row>
    <row r="22" spans="1:18">
      <c r="A22" s="276">
        <v>-17</v>
      </c>
      <c r="B22" s="210">
        <v>10106</v>
      </c>
      <c r="C22" s="211" t="s">
        <v>11</v>
      </c>
      <c r="D22" s="233">
        <v>3.1553000000000002E-3</v>
      </c>
      <c r="E22" s="234">
        <v>3.1681000000000001E-3</v>
      </c>
      <c r="F22" s="234">
        <v>3.1553000000000002E-3</v>
      </c>
      <c r="G22" s="234">
        <v>3.1681000000000001E-3</v>
      </c>
      <c r="H22" s="235">
        <v>0</v>
      </c>
      <c r="I22" s="236">
        <v>0</v>
      </c>
      <c r="J22" s="237">
        <f>VLOOKUP($B22,'Retained Provisional CHWM Calcs'!$B$10:$AD$50,29,FALSE)</f>
        <v>23.978000000000002</v>
      </c>
      <c r="K22" s="238">
        <v>22.452707766300001</v>
      </c>
      <c r="L22" s="239">
        <f t="shared" si="0"/>
        <v>3.1553000000000002E-3</v>
      </c>
      <c r="M22" s="240">
        <f t="shared" si="2"/>
        <v>3.1553000000000002E-3</v>
      </c>
      <c r="N22" s="235">
        <f t="shared" si="1"/>
        <v>0</v>
      </c>
      <c r="O22" s="241" t="str">
        <f t="shared" si="3"/>
        <v>No</v>
      </c>
      <c r="R22" s="311"/>
    </row>
    <row r="23" spans="1:18" s="232" customFormat="1">
      <c r="A23" s="277">
        <v>-18</v>
      </c>
      <c r="B23" s="221">
        <v>10112</v>
      </c>
      <c r="C23" s="222" t="s">
        <v>12</v>
      </c>
      <c r="D23" s="223">
        <v>8.0572000000000005E-3</v>
      </c>
      <c r="E23" s="224">
        <v>8.1463000000000004E-3</v>
      </c>
      <c r="F23" s="224">
        <v>8.0572000000000005E-3</v>
      </c>
      <c r="G23" s="224">
        <v>8.1463000000000004E-3</v>
      </c>
      <c r="H23" s="225">
        <v>0</v>
      </c>
      <c r="I23" s="226">
        <v>0</v>
      </c>
      <c r="J23" s="227">
        <f>VLOOKUP($B23,'Retained Provisional CHWM Calcs'!$B$10:$AD$50,29,FALSE)</f>
        <v>58.493000000000002</v>
      </c>
      <c r="K23" s="228">
        <v>57.333995821200006</v>
      </c>
      <c r="L23" s="229">
        <f t="shared" si="0"/>
        <v>8.0572000000000005E-3</v>
      </c>
      <c r="M23" s="230">
        <f t="shared" si="2"/>
        <v>8.0572000000000005E-3</v>
      </c>
      <c r="N23" s="225">
        <f t="shared" si="1"/>
        <v>0</v>
      </c>
      <c r="O23" s="231" t="str">
        <f t="shared" si="3"/>
        <v>No</v>
      </c>
      <c r="R23" s="311"/>
    </row>
    <row r="24" spans="1:18">
      <c r="A24" s="276">
        <v>-19</v>
      </c>
      <c r="B24" s="210">
        <v>10121</v>
      </c>
      <c r="C24" s="211" t="s">
        <v>13</v>
      </c>
      <c r="D24" s="233">
        <v>5.7682000000000002E-3</v>
      </c>
      <c r="E24" s="234">
        <v>5.7682000000000002E-3</v>
      </c>
      <c r="F24" s="234">
        <v>5.7682000000000002E-3</v>
      </c>
      <c r="G24" s="234">
        <v>5.7682000000000002E-3</v>
      </c>
      <c r="H24" s="235">
        <v>0</v>
      </c>
      <c r="I24" s="236">
        <v>0</v>
      </c>
      <c r="J24" s="237">
        <f>VLOOKUP($B24,'Retained Provisional CHWM Calcs'!$B$10:$AD$50,29,FALSE)</f>
        <v>41.045999999999999</v>
      </c>
      <c r="K24" s="238">
        <v>41.074767102200006</v>
      </c>
      <c r="L24" s="239">
        <f t="shared" si="0"/>
        <v>5.7682000000000002E-3</v>
      </c>
      <c r="M24" s="240">
        <f t="shared" si="2"/>
        <v>5.7682000000000002E-3</v>
      </c>
      <c r="N24" s="235">
        <f t="shared" si="1"/>
        <v>0</v>
      </c>
      <c r="O24" s="241" t="str">
        <f t="shared" si="3"/>
        <v>No</v>
      </c>
      <c r="R24" s="311"/>
    </row>
    <row r="25" spans="1:18" s="232" customFormat="1">
      <c r="A25" s="277">
        <v>-20</v>
      </c>
      <c r="B25" s="221">
        <v>10136</v>
      </c>
      <c r="C25" s="222" t="s">
        <v>17</v>
      </c>
      <c r="D25" s="223">
        <v>2.5604999999999998E-3</v>
      </c>
      <c r="E25" s="224">
        <v>2.5969999999999999E-3</v>
      </c>
      <c r="F25" s="224">
        <v>2.5604999999999998E-3</v>
      </c>
      <c r="G25" s="224">
        <v>2.5969999999999999E-3</v>
      </c>
      <c r="H25" s="225">
        <v>0</v>
      </c>
      <c r="I25" s="226">
        <v>0</v>
      </c>
      <c r="J25" s="227">
        <f>VLOOKUP($B25,'Retained Provisional CHWM Calcs'!$B$10:$AD$50,29,FALSE)</f>
        <v>18.614999999999998</v>
      </c>
      <c r="K25" s="228">
        <v>18.220187695499998</v>
      </c>
      <c r="L25" s="229">
        <f t="shared" si="0"/>
        <v>2.5604999999999998E-3</v>
      </c>
      <c r="M25" s="230">
        <f t="shared" si="2"/>
        <v>2.5604999999999998E-3</v>
      </c>
      <c r="N25" s="225">
        <f t="shared" si="1"/>
        <v>0</v>
      </c>
      <c r="O25" s="231" t="str">
        <f t="shared" si="3"/>
        <v>No</v>
      </c>
      <c r="R25" s="311"/>
    </row>
    <row r="26" spans="1:18">
      <c r="A26" s="276">
        <v>-21</v>
      </c>
      <c r="B26" s="210">
        <v>10157</v>
      </c>
      <c r="C26" s="211" t="s">
        <v>20</v>
      </c>
      <c r="D26" s="233">
        <v>6.9357999999999998E-3</v>
      </c>
      <c r="E26" s="234">
        <v>7.1726000000000003E-3</v>
      </c>
      <c r="F26" s="234">
        <v>3.2312999999999999E-3</v>
      </c>
      <c r="G26" s="234">
        <v>3.4681000000000004E-3</v>
      </c>
      <c r="H26" s="242">
        <v>3.7044999999999999E-3</v>
      </c>
      <c r="I26" s="241">
        <v>3.7044999999999999E-3</v>
      </c>
      <c r="J26" s="237">
        <f>VLOOKUP($B26,'Retained Provisional CHWM Calcs'!$B$10:$AD$50,29,FALSE)</f>
        <v>50.165999999999997</v>
      </c>
      <c r="K26" s="238">
        <v>49.354000000000006</v>
      </c>
      <c r="L26" s="239">
        <f t="shared" si="0"/>
        <v>6.9357999999999998E-3</v>
      </c>
      <c r="M26" s="240">
        <f t="shared" si="2"/>
        <v>3.2312999999999999E-3</v>
      </c>
      <c r="N26" s="235">
        <f t="shared" si="1"/>
        <v>3.7044999999999999E-3</v>
      </c>
      <c r="O26" s="241" t="str">
        <f t="shared" si="3"/>
        <v>No</v>
      </c>
      <c r="R26" s="311"/>
    </row>
    <row r="27" spans="1:18" s="232" customFormat="1">
      <c r="A27" s="277">
        <v>-22</v>
      </c>
      <c r="B27" s="221">
        <v>10158</v>
      </c>
      <c r="C27" s="222" t="s">
        <v>21</v>
      </c>
      <c r="D27" s="223">
        <v>3.903E-4</v>
      </c>
      <c r="E27" s="224">
        <v>3.903E-4</v>
      </c>
      <c r="F27" s="224">
        <v>3.903E-4</v>
      </c>
      <c r="G27" s="224">
        <v>3.903E-4</v>
      </c>
      <c r="H27" s="225">
        <v>0</v>
      </c>
      <c r="I27" s="226">
        <v>0</v>
      </c>
      <c r="J27" s="227">
        <f>VLOOKUP($B27,'Retained Provisional CHWM Calcs'!$B$10:$AD$50,29,FALSE)</f>
        <v>2.8029999999999999</v>
      </c>
      <c r="K27" s="228">
        <v>2.7773244513000002</v>
      </c>
      <c r="L27" s="229">
        <f t="shared" si="0"/>
        <v>3.903E-4</v>
      </c>
      <c r="M27" s="230">
        <f t="shared" si="2"/>
        <v>3.903E-4</v>
      </c>
      <c r="N27" s="225">
        <f t="shared" si="1"/>
        <v>0</v>
      </c>
      <c r="O27" s="231" t="str">
        <f t="shared" si="3"/>
        <v>No</v>
      </c>
      <c r="R27" s="311"/>
    </row>
    <row r="28" spans="1:18">
      <c r="A28" s="276">
        <v>-23</v>
      </c>
      <c r="B28" s="210">
        <v>10170</v>
      </c>
      <c r="C28" s="211" t="s">
        <v>22</v>
      </c>
      <c r="D28" s="233">
        <v>3.4098400000000001E-2</v>
      </c>
      <c r="E28" s="234">
        <v>3.4105999999999997E-2</v>
      </c>
      <c r="F28" s="234">
        <v>1.6133500000000002E-2</v>
      </c>
      <c r="G28" s="234">
        <v>1.6141199999999998E-2</v>
      </c>
      <c r="H28" s="242">
        <v>1.7964899999999999E-2</v>
      </c>
      <c r="I28" s="241">
        <v>1.79648E-2</v>
      </c>
      <c r="J28" s="237">
        <f>VLOOKUP($B28,'Retained Provisional CHWM Calcs'!$B$10:$AD$50,29,FALSE)</f>
        <v>252.14400000000001</v>
      </c>
      <c r="K28" s="238">
        <v>242.64</v>
      </c>
      <c r="L28" s="239">
        <f t="shared" si="0"/>
        <v>3.4098400000000001E-2</v>
      </c>
      <c r="M28" s="240">
        <f t="shared" si="2"/>
        <v>1.6133500000000002E-2</v>
      </c>
      <c r="N28" s="235">
        <f t="shared" si="1"/>
        <v>1.7964899999999999E-2</v>
      </c>
      <c r="O28" s="241" t="str">
        <f t="shared" si="3"/>
        <v>No</v>
      </c>
      <c r="R28" s="311"/>
    </row>
    <row r="29" spans="1:18" s="232" customFormat="1">
      <c r="A29" s="277">
        <v>-24</v>
      </c>
      <c r="B29" s="221">
        <v>10172</v>
      </c>
      <c r="C29" s="222" t="s">
        <v>23</v>
      </c>
      <c r="D29" s="223">
        <v>8.6950000000000005E-4</v>
      </c>
      <c r="E29" s="224">
        <v>8.7819999999999999E-4</v>
      </c>
      <c r="F29" s="224">
        <v>8.6950000000000005E-4</v>
      </c>
      <c r="G29" s="224">
        <v>8.7819999999999999E-4</v>
      </c>
      <c r="H29" s="225">
        <v>0</v>
      </c>
      <c r="I29" s="226">
        <v>0</v>
      </c>
      <c r="J29" s="227">
        <f>VLOOKUP($B29,'Retained Provisional CHWM Calcs'!$B$10:$AD$50,29,FALSE)</f>
        <v>6.1269999999999998</v>
      </c>
      <c r="K29" s="228">
        <v>6.1872498345000002</v>
      </c>
      <c r="L29" s="229">
        <f t="shared" si="0"/>
        <v>8.61E-4</v>
      </c>
      <c r="M29" s="230">
        <f t="shared" si="2"/>
        <v>8.61E-4</v>
      </c>
      <c r="N29" s="225">
        <f t="shared" si="1"/>
        <v>0</v>
      </c>
      <c r="O29" s="231" t="str">
        <f t="shared" si="3"/>
        <v>Yes</v>
      </c>
      <c r="R29" s="311"/>
    </row>
    <row r="30" spans="1:18">
      <c r="A30" s="276">
        <v>-25</v>
      </c>
      <c r="B30" s="210">
        <v>10179</v>
      </c>
      <c r="C30" s="211" t="s">
        <v>24</v>
      </c>
      <c r="D30" s="233">
        <v>2.3463500000000002E-2</v>
      </c>
      <c r="E30" s="234">
        <v>2.3541400000000001E-2</v>
      </c>
      <c r="F30" s="234">
        <v>2.3463500000000002E-2</v>
      </c>
      <c r="G30" s="234">
        <v>2.3541400000000001E-2</v>
      </c>
      <c r="H30" s="235">
        <v>0</v>
      </c>
      <c r="I30" s="236">
        <v>0</v>
      </c>
      <c r="J30" s="237">
        <f>VLOOKUP($B30,'Retained Provisional CHWM Calcs'!$B$10:$AD$50,29,FALSE)</f>
        <v>167.518</v>
      </c>
      <c r="K30" s="238">
        <v>166.96323920850003</v>
      </c>
      <c r="L30" s="239">
        <f t="shared" si="0"/>
        <v>2.3463500000000002E-2</v>
      </c>
      <c r="M30" s="240">
        <f t="shared" si="2"/>
        <v>2.3463500000000002E-2</v>
      </c>
      <c r="N30" s="235">
        <f t="shared" si="1"/>
        <v>0</v>
      </c>
      <c r="O30" s="241" t="str">
        <f t="shared" si="3"/>
        <v>No</v>
      </c>
      <c r="R30" s="311"/>
    </row>
    <row r="31" spans="1:18" s="232" customFormat="1">
      <c r="A31" s="277">
        <v>-26</v>
      </c>
      <c r="B31" s="221">
        <v>10191</v>
      </c>
      <c r="C31" s="222" t="s">
        <v>27</v>
      </c>
      <c r="D31" s="223">
        <v>1.8516899999999999E-2</v>
      </c>
      <c r="E31" s="224">
        <v>1.8516899999999999E-2</v>
      </c>
      <c r="F31" s="224">
        <v>8.8173000000000001E-3</v>
      </c>
      <c r="G31" s="224">
        <v>8.8173999999999995E-3</v>
      </c>
      <c r="H31" s="243">
        <v>9.6995999999999992E-3</v>
      </c>
      <c r="I31" s="231">
        <v>9.6994999999999998E-3</v>
      </c>
      <c r="J31" s="227">
        <f>VLOOKUP($B31,'Retained Provisional CHWM Calcs'!$B$10:$AD$50,29,FALSE)</f>
        <v>131.76400000000001</v>
      </c>
      <c r="K31" s="228">
        <v>131.76400000000001</v>
      </c>
      <c r="L31" s="229">
        <f t="shared" si="0"/>
        <v>1.8516899999999999E-2</v>
      </c>
      <c r="M31" s="230">
        <f t="shared" si="2"/>
        <v>8.8173000000000001E-3</v>
      </c>
      <c r="N31" s="225">
        <f t="shared" si="1"/>
        <v>9.6995999999999992E-3</v>
      </c>
      <c r="O31" s="231" t="str">
        <f t="shared" si="3"/>
        <v>No</v>
      </c>
      <c r="R31" s="311"/>
    </row>
    <row r="32" spans="1:18">
      <c r="A32" s="276">
        <v>-27</v>
      </c>
      <c r="B32" s="210">
        <v>10235</v>
      </c>
      <c r="C32" s="211" t="s">
        <v>30</v>
      </c>
      <c r="D32" s="233">
        <v>4.6246999999999998E-3</v>
      </c>
      <c r="E32" s="234">
        <v>4.6284999999999998E-3</v>
      </c>
      <c r="F32" s="234">
        <v>4.6246999999999998E-3</v>
      </c>
      <c r="G32" s="234">
        <v>4.6284999999999998E-3</v>
      </c>
      <c r="H32" s="235">
        <v>0</v>
      </c>
      <c r="I32" s="236">
        <v>0</v>
      </c>
      <c r="J32" s="237">
        <f>VLOOKUP($B32,'Retained Provisional CHWM Calcs'!$B$10:$AD$50,29,FALSE)</f>
        <v>33.250999999999998</v>
      </c>
      <c r="K32" s="238">
        <v>32.908768613699998</v>
      </c>
      <c r="L32" s="239">
        <f t="shared" si="0"/>
        <v>4.6246999999999998E-3</v>
      </c>
      <c r="M32" s="240">
        <f t="shared" si="2"/>
        <v>4.6246999999999998E-3</v>
      </c>
      <c r="N32" s="235">
        <f t="shared" si="1"/>
        <v>0</v>
      </c>
      <c r="O32" s="241" t="str">
        <f t="shared" si="3"/>
        <v>No</v>
      </c>
      <c r="R32" s="311"/>
    </row>
    <row r="33" spans="1:18" s="232" customFormat="1">
      <c r="A33" s="277">
        <v>-28</v>
      </c>
      <c r="B33" s="221">
        <v>10239</v>
      </c>
      <c r="C33" s="222" t="s">
        <v>32</v>
      </c>
      <c r="D33" s="223">
        <v>1.9537999999999999E-3</v>
      </c>
      <c r="E33" s="224">
        <v>1.9784E-3</v>
      </c>
      <c r="F33" s="224">
        <v>1.9537999999999999E-3</v>
      </c>
      <c r="G33" s="224">
        <v>1.9784E-3</v>
      </c>
      <c r="H33" s="225">
        <v>0</v>
      </c>
      <c r="I33" s="226">
        <v>0</v>
      </c>
      <c r="J33" s="227">
        <f>VLOOKUP($B33,'Retained Provisional CHWM Calcs'!$B$10:$AD$50,29,FALSE)</f>
        <v>14.058999999999999</v>
      </c>
      <c r="K33" s="228">
        <v>13.902988759799999</v>
      </c>
      <c r="L33" s="229">
        <f t="shared" si="0"/>
        <v>1.9537999999999999E-3</v>
      </c>
      <c r="M33" s="230">
        <f t="shared" si="2"/>
        <v>1.9537999999999999E-3</v>
      </c>
      <c r="N33" s="225">
        <f t="shared" si="1"/>
        <v>0</v>
      </c>
      <c r="O33" s="231" t="str">
        <f t="shared" si="3"/>
        <v>No</v>
      </c>
      <c r="R33" s="311"/>
    </row>
    <row r="34" spans="1:18">
      <c r="A34" s="276">
        <v>-29</v>
      </c>
      <c r="B34" s="210">
        <v>10246</v>
      </c>
      <c r="C34" s="211" t="s">
        <v>33</v>
      </c>
      <c r="D34" s="233">
        <v>1.2681999999999999E-3</v>
      </c>
      <c r="E34" s="234">
        <v>1.2681999999999999E-3</v>
      </c>
      <c r="F34" s="234">
        <v>1.2681999999999999E-3</v>
      </c>
      <c r="G34" s="234">
        <v>1.2681999999999999E-3</v>
      </c>
      <c r="H34" s="235">
        <v>0</v>
      </c>
      <c r="I34" s="236">
        <v>0</v>
      </c>
      <c r="J34" s="237">
        <f>VLOOKUP($B34,'Retained Provisional CHWM Calcs'!$B$10:$AD$50,29,FALSE)</f>
        <v>9.0239999999999991</v>
      </c>
      <c r="K34" s="238">
        <v>9.4003476021999983</v>
      </c>
      <c r="L34" s="239">
        <f t="shared" si="0"/>
        <v>1.2681999999999999E-3</v>
      </c>
      <c r="M34" s="240">
        <f t="shared" si="2"/>
        <v>1.2681999999999999E-3</v>
      </c>
      <c r="N34" s="235">
        <f t="shared" si="1"/>
        <v>0</v>
      </c>
      <c r="O34" s="241" t="str">
        <f t="shared" si="3"/>
        <v>No</v>
      </c>
      <c r="R34" s="311"/>
    </row>
    <row r="35" spans="1:18" s="232" customFormat="1">
      <c r="A35" s="277">
        <v>-30</v>
      </c>
      <c r="B35" s="221">
        <v>10247</v>
      </c>
      <c r="C35" s="222" t="s">
        <v>34</v>
      </c>
      <c r="D35" s="223">
        <v>1.1279300000000001E-2</v>
      </c>
      <c r="E35" s="224">
        <v>1.1279300000000001E-2</v>
      </c>
      <c r="F35" s="224">
        <v>1.1279300000000001E-2</v>
      </c>
      <c r="G35" s="224">
        <v>1.1279300000000001E-2</v>
      </c>
      <c r="H35" s="225">
        <v>0</v>
      </c>
      <c r="I35" s="226">
        <v>0</v>
      </c>
      <c r="J35" s="227">
        <f>VLOOKUP($B35,'Retained Provisional CHWM Calcs'!$B$10:$AD$50,29,FALSE)</f>
        <v>80.262</v>
      </c>
      <c r="K35" s="228">
        <v>80.999043770300005</v>
      </c>
      <c r="L35" s="229">
        <f t="shared" si="0"/>
        <v>1.1279300000000001E-2</v>
      </c>
      <c r="M35" s="230">
        <f t="shared" si="2"/>
        <v>1.1279300000000001E-2</v>
      </c>
      <c r="N35" s="225">
        <f t="shared" si="1"/>
        <v>0</v>
      </c>
      <c r="O35" s="231" t="str">
        <f t="shared" si="3"/>
        <v>No</v>
      </c>
      <c r="R35" s="311"/>
    </row>
    <row r="36" spans="1:18">
      <c r="A36" s="276">
        <v>-31</v>
      </c>
      <c r="B36" s="210">
        <v>10258</v>
      </c>
      <c r="C36" s="211" t="s">
        <v>38</v>
      </c>
      <c r="D36" s="233">
        <v>5.2547000000000002E-3</v>
      </c>
      <c r="E36" s="234">
        <v>5.3556000000000003E-3</v>
      </c>
      <c r="F36" s="234">
        <v>5.2547000000000002E-3</v>
      </c>
      <c r="G36" s="234">
        <v>5.3556000000000003E-3</v>
      </c>
      <c r="H36" s="235">
        <v>0</v>
      </c>
      <c r="I36" s="236">
        <v>0</v>
      </c>
      <c r="J36" s="237">
        <f>VLOOKUP($B36,'Retained Provisional CHWM Calcs'!$B$10:$AD$50,29,FALSE)</f>
        <v>38.11</v>
      </c>
      <c r="K36" s="238">
        <v>37.391767343700003</v>
      </c>
      <c r="L36" s="239">
        <f t="shared" si="0"/>
        <v>5.2547000000000002E-3</v>
      </c>
      <c r="M36" s="240">
        <f t="shared" si="2"/>
        <v>5.2547000000000002E-3</v>
      </c>
      <c r="N36" s="235">
        <f t="shared" si="1"/>
        <v>0</v>
      </c>
      <c r="O36" s="241" t="str">
        <f t="shared" si="3"/>
        <v>No</v>
      </c>
      <c r="R36" s="311"/>
    </row>
    <row r="37" spans="1:18" s="232" customFormat="1">
      <c r="A37" s="277">
        <v>-32</v>
      </c>
      <c r="B37" s="221">
        <v>10286</v>
      </c>
      <c r="C37" s="222" t="s">
        <v>39</v>
      </c>
      <c r="D37" s="223">
        <v>6.7809999999999997E-3</v>
      </c>
      <c r="E37" s="224">
        <v>6.9074000000000002E-3</v>
      </c>
      <c r="F37" s="224">
        <v>3.1648999999999996E-3</v>
      </c>
      <c r="G37" s="224">
        <v>3.2913E-3</v>
      </c>
      <c r="H37" s="243">
        <v>3.6161000000000001E-3</v>
      </c>
      <c r="I37" s="231">
        <v>3.6161000000000001E-3</v>
      </c>
      <c r="J37" s="227">
        <f>VLOOKUP($B37,'Retained Provisional CHWM Calcs'!$B$10:$AD$50,29,FALSE)</f>
        <v>46.103000000000002</v>
      </c>
      <c r="K37" s="228">
        <v>48.253</v>
      </c>
      <c r="L37" s="229">
        <f t="shared" si="0"/>
        <v>6.4789000000000001E-3</v>
      </c>
      <c r="M37" s="230">
        <f t="shared" si="2"/>
        <v>2.8628E-3</v>
      </c>
      <c r="N37" s="225">
        <f t="shared" si="1"/>
        <v>3.6161000000000001E-3</v>
      </c>
      <c r="O37" s="231" t="str">
        <f t="shared" si="3"/>
        <v>Yes</v>
      </c>
      <c r="R37" s="311"/>
    </row>
    <row r="38" spans="1:18">
      <c r="A38" s="276">
        <v>-33</v>
      </c>
      <c r="B38" s="210">
        <v>10288</v>
      </c>
      <c r="C38" s="211" t="s">
        <v>40</v>
      </c>
      <c r="D38" s="233">
        <v>3.4903999999999998E-3</v>
      </c>
      <c r="E38" s="234">
        <v>3.4903999999999998E-3</v>
      </c>
      <c r="F38" s="234">
        <v>3.4903999999999998E-3</v>
      </c>
      <c r="G38" s="234">
        <v>3.4903999999999998E-3</v>
      </c>
      <c r="H38" s="235">
        <v>0</v>
      </c>
      <c r="I38" s="236">
        <v>0</v>
      </c>
      <c r="J38" s="237">
        <f>VLOOKUP($B38,'Retained Provisional CHWM Calcs'!$B$10:$AD$50,29,FALSE)</f>
        <v>24.837</v>
      </c>
      <c r="K38" s="238">
        <v>26.150236138399997</v>
      </c>
      <c r="L38" s="239">
        <f t="shared" si="0"/>
        <v>3.4903999999999998E-3</v>
      </c>
      <c r="M38" s="240">
        <f t="shared" si="2"/>
        <v>3.4903999999999998E-3</v>
      </c>
      <c r="N38" s="235">
        <f t="shared" si="1"/>
        <v>0</v>
      </c>
      <c r="O38" s="241" t="str">
        <f t="shared" si="3"/>
        <v>No</v>
      </c>
      <c r="R38" s="311"/>
    </row>
    <row r="39" spans="1:18" s="232" customFormat="1">
      <c r="A39" s="277">
        <v>-34</v>
      </c>
      <c r="B39" s="221">
        <v>10291</v>
      </c>
      <c r="C39" s="222" t="s">
        <v>41</v>
      </c>
      <c r="D39" s="223">
        <v>1.07215E-2</v>
      </c>
      <c r="E39" s="224">
        <v>1.0843800000000001E-2</v>
      </c>
      <c r="F39" s="224">
        <v>1.07215E-2</v>
      </c>
      <c r="G39" s="224">
        <v>1.0843800000000001E-2</v>
      </c>
      <c r="H39" s="225">
        <v>0</v>
      </c>
      <c r="I39" s="226">
        <v>0</v>
      </c>
      <c r="J39" s="227">
        <f>VLOOKUP($B39,'Retained Provisional CHWM Calcs'!$B$10:$AD$50,29,FALSE)</f>
        <v>79.512</v>
      </c>
      <c r="K39" s="228">
        <v>76.292810926499996</v>
      </c>
      <c r="L39" s="229">
        <f t="shared" si="0"/>
        <v>1.07215E-2</v>
      </c>
      <c r="M39" s="230">
        <f t="shared" si="2"/>
        <v>1.07215E-2</v>
      </c>
      <c r="N39" s="225">
        <f t="shared" si="1"/>
        <v>0</v>
      </c>
      <c r="O39" s="231" t="str">
        <f t="shared" si="3"/>
        <v>No</v>
      </c>
      <c r="R39" s="311"/>
    </row>
    <row r="40" spans="1:18">
      <c r="A40" s="276">
        <v>-35</v>
      </c>
      <c r="B40" s="210">
        <v>10304</v>
      </c>
      <c r="C40" s="211" t="s">
        <v>43</v>
      </c>
      <c r="D40" s="233">
        <v>1.9853000000000002E-3</v>
      </c>
      <c r="E40" s="234">
        <v>1.9853000000000002E-3</v>
      </c>
      <c r="F40" s="234">
        <v>1.9853000000000002E-3</v>
      </c>
      <c r="G40" s="234">
        <v>1.9853000000000002E-3</v>
      </c>
      <c r="H40" s="235">
        <v>0</v>
      </c>
      <c r="I40" s="236">
        <v>0</v>
      </c>
      <c r="J40" s="237">
        <f>VLOOKUP($B40,'Retained Provisional CHWM Calcs'!$B$10:$AD$50,29,FALSE)</f>
        <v>14.127000000000001</v>
      </c>
      <c r="K40" s="238">
        <v>14.538138696300001</v>
      </c>
      <c r="L40" s="239">
        <f t="shared" si="0"/>
        <v>1.9853000000000002E-3</v>
      </c>
      <c r="M40" s="240">
        <f t="shared" si="2"/>
        <v>1.9853000000000002E-3</v>
      </c>
      <c r="N40" s="235">
        <f t="shared" si="1"/>
        <v>0</v>
      </c>
      <c r="O40" s="241" t="str">
        <f t="shared" si="3"/>
        <v>No</v>
      </c>
      <c r="R40" s="311"/>
    </row>
    <row r="41" spans="1:18" s="232" customFormat="1">
      <c r="A41" s="277">
        <v>-36</v>
      </c>
      <c r="B41" s="221">
        <v>10306</v>
      </c>
      <c r="C41" s="222" t="s">
        <v>44</v>
      </c>
      <c r="D41" s="223">
        <v>4.0004999999999997E-3</v>
      </c>
      <c r="E41" s="224">
        <v>4.0939000000000001E-3</v>
      </c>
      <c r="F41" s="224">
        <v>4.0004999999999997E-3</v>
      </c>
      <c r="G41" s="224">
        <v>4.0939000000000001E-3</v>
      </c>
      <c r="H41" s="225">
        <v>0</v>
      </c>
      <c r="I41" s="226">
        <v>0</v>
      </c>
      <c r="J41" s="227">
        <f>VLOOKUP($B41,'Retained Provisional CHWM Calcs'!$B$10:$AD$50,29,FALSE)</f>
        <v>25.876000000000001</v>
      </c>
      <c r="K41" s="228">
        <v>28.466999999999999</v>
      </c>
      <c r="L41" s="229">
        <f t="shared" si="0"/>
        <v>3.6364000000000001E-3</v>
      </c>
      <c r="M41" s="230">
        <f t="shared" si="2"/>
        <v>3.6364000000000001E-3</v>
      </c>
      <c r="N41" s="225">
        <f t="shared" si="1"/>
        <v>0</v>
      </c>
      <c r="O41" s="231" t="str">
        <f t="shared" si="3"/>
        <v>Yes</v>
      </c>
      <c r="R41" s="311"/>
    </row>
    <row r="42" spans="1:18">
      <c r="A42" s="276">
        <v>-37</v>
      </c>
      <c r="B42" s="210">
        <v>10331</v>
      </c>
      <c r="C42" s="211" t="s">
        <v>46</v>
      </c>
      <c r="D42" s="233">
        <v>4.8421000000000002E-3</v>
      </c>
      <c r="E42" s="234">
        <v>4.8732000000000003E-3</v>
      </c>
      <c r="F42" s="234">
        <v>4.8421000000000002E-3</v>
      </c>
      <c r="G42" s="234">
        <v>4.8732000000000003E-3</v>
      </c>
      <c r="H42" s="235">
        <v>0</v>
      </c>
      <c r="I42" s="236">
        <v>0</v>
      </c>
      <c r="J42" s="237">
        <f>VLOOKUP($B42,'Retained Provisional CHWM Calcs'!$B$10:$AD$50,29,FALSE)</f>
        <v>36.755000000000003</v>
      </c>
      <c r="K42" s="238">
        <v>34.455758969100003</v>
      </c>
      <c r="L42" s="239">
        <f t="shared" si="0"/>
        <v>4.8421000000000002E-3</v>
      </c>
      <c r="M42" s="240">
        <f t="shared" si="2"/>
        <v>4.8421000000000002E-3</v>
      </c>
      <c r="N42" s="235">
        <f t="shared" si="1"/>
        <v>0</v>
      </c>
      <c r="O42" s="241" t="str">
        <f t="shared" si="3"/>
        <v>No</v>
      </c>
      <c r="R42" s="311"/>
    </row>
    <row r="43" spans="1:18" s="232" customFormat="1">
      <c r="A43" s="277">
        <v>-38</v>
      </c>
      <c r="B43" s="221">
        <v>10342</v>
      </c>
      <c r="C43" s="222" t="s">
        <v>47</v>
      </c>
      <c r="D43" s="223">
        <v>5.5583999999999998E-3</v>
      </c>
      <c r="E43" s="224">
        <v>5.5583999999999998E-3</v>
      </c>
      <c r="F43" s="224">
        <v>5.5583999999999998E-3</v>
      </c>
      <c r="G43" s="224">
        <v>5.5583999999999998E-3</v>
      </c>
      <c r="H43" s="225">
        <v>0</v>
      </c>
      <c r="I43" s="226">
        <v>0</v>
      </c>
      <c r="J43" s="227">
        <f>VLOOKUP($B43,'Retained Provisional CHWM Calcs'!$B$10:$AD$50,29,FALSE)</f>
        <v>38.851999999999997</v>
      </c>
      <c r="K43" s="228">
        <v>39.6708573664</v>
      </c>
      <c r="L43" s="229">
        <f t="shared" si="0"/>
        <v>5.4599000000000002E-3</v>
      </c>
      <c r="M43" s="230">
        <f t="shared" si="2"/>
        <v>5.4599000000000002E-3</v>
      </c>
      <c r="N43" s="225">
        <f t="shared" si="1"/>
        <v>0</v>
      </c>
      <c r="O43" s="231" t="str">
        <f t="shared" si="3"/>
        <v>Yes</v>
      </c>
      <c r="R43" s="311"/>
    </row>
    <row r="44" spans="1:18">
      <c r="A44" s="276">
        <v>-39</v>
      </c>
      <c r="B44" s="210">
        <v>10378</v>
      </c>
      <c r="C44" s="211" t="s">
        <v>14</v>
      </c>
      <c r="D44" s="233">
        <v>2.8570000000000001E-4</v>
      </c>
      <c r="E44" s="234">
        <v>2.8570000000000001E-4</v>
      </c>
      <c r="F44" s="234">
        <v>2.8570000000000001E-4</v>
      </c>
      <c r="G44" s="234">
        <v>2.8570000000000001E-4</v>
      </c>
      <c r="H44" s="235">
        <v>0</v>
      </c>
      <c r="I44" s="236">
        <v>0</v>
      </c>
      <c r="J44" s="237">
        <f>VLOOKUP($B44,'Retained Provisional CHWM Calcs'!$B$10:$AD$50,29,FALSE)</f>
        <v>2.0289999999999999</v>
      </c>
      <c r="K44" s="238">
        <v>2.1740043447000001</v>
      </c>
      <c r="L44" s="239">
        <f t="shared" si="0"/>
        <v>2.8509999999999999E-4</v>
      </c>
      <c r="M44" s="240">
        <f t="shared" si="2"/>
        <v>2.8509999999999999E-4</v>
      </c>
      <c r="N44" s="235">
        <f t="shared" si="1"/>
        <v>0</v>
      </c>
      <c r="O44" s="241" t="str">
        <f t="shared" si="3"/>
        <v>Yes</v>
      </c>
      <c r="R44" s="311"/>
    </row>
    <row r="45" spans="1:18" s="232" customFormat="1">
      <c r="A45" s="277">
        <v>-40</v>
      </c>
      <c r="B45" s="221">
        <v>10448</v>
      </c>
      <c r="C45" s="222" t="s">
        <v>52</v>
      </c>
      <c r="D45" s="223">
        <v>1.1826E-3</v>
      </c>
      <c r="E45" s="224">
        <v>1.1857E-3</v>
      </c>
      <c r="F45" s="224">
        <v>1.1826E-3</v>
      </c>
      <c r="G45" s="224">
        <v>1.1857E-3</v>
      </c>
      <c r="H45" s="225">
        <v>0</v>
      </c>
      <c r="I45" s="226">
        <v>0</v>
      </c>
      <c r="J45" s="227">
        <f>VLOOKUP($B45,'Retained Provisional CHWM Calcs'!$B$10:$AD$50,29,FALSE)</f>
        <v>8.5169999999999995</v>
      </c>
      <c r="K45" s="228">
        <v>8.4152290446000002</v>
      </c>
      <c r="L45" s="229">
        <f t="shared" si="0"/>
        <v>1.1826E-3</v>
      </c>
      <c r="M45" s="230">
        <f t="shared" si="2"/>
        <v>1.1826E-3</v>
      </c>
      <c r="N45" s="225">
        <f t="shared" si="1"/>
        <v>0</v>
      </c>
      <c r="O45" s="231" t="str">
        <f t="shared" si="3"/>
        <v>No</v>
      </c>
      <c r="R45" s="311"/>
    </row>
    <row r="46" spans="1:18" ht="13.5" thickBot="1">
      <c r="A46" s="276">
        <v>-41</v>
      </c>
      <c r="B46" s="210">
        <v>10502</v>
      </c>
      <c r="C46" s="211" t="s">
        <v>57</v>
      </c>
      <c r="D46" s="244">
        <v>1.3887000000000001E-3</v>
      </c>
      <c r="E46" s="245">
        <v>1.4001E-3</v>
      </c>
      <c r="F46" s="245">
        <v>1.3887000000000001E-3</v>
      </c>
      <c r="G46" s="245">
        <v>1.4001E-3</v>
      </c>
      <c r="H46" s="246">
        <v>0</v>
      </c>
      <c r="I46" s="247">
        <v>0</v>
      </c>
      <c r="J46" s="248">
        <f>VLOOKUP($B46,'Retained Provisional CHWM Calcs'!$B$10:$AD$50,29,FALSE)</f>
        <v>9.9629999999999992</v>
      </c>
      <c r="K46" s="249">
        <v>9.881810057700001</v>
      </c>
      <c r="L46" s="250">
        <f t="shared" si="0"/>
        <v>1.3887000000000001E-3</v>
      </c>
      <c r="M46" s="251">
        <f t="shared" si="2"/>
        <v>1.3887000000000001E-3</v>
      </c>
      <c r="N46" s="246">
        <f t="shared" si="1"/>
        <v>0</v>
      </c>
      <c r="O46" s="252" t="str">
        <f t="shared" si="3"/>
        <v>No</v>
      </c>
      <c r="R46" s="311"/>
    </row>
    <row r="47" spans="1:18">
      <c r="B47" s="253"/>
      <c r="C47" s="254"/>
      <c r="D47" s="255"/>
      <c r="E47" s="255"/>
      <c r="F47" s="255"/>
      <c r="G47" s="255"/>
      <c r="H47" s="256"/>
      <c r="I47" s="256"/>
      <c r="J47" s="256"/>
      <c r="K47" s="256"/>
    </row>
    <row r="48" spans="1:18">
      <c r="B48" s="257"/>
      <c r="C48" s="257"/>
      <c r="D48" s="257"/>
      <c r="E48" s="257"/>
      <c r="F48" s="257"/>
      <c r="G48" s="257"/>
      <c r="K48" s="258" t="s">
        <v>447</v>
      </c>
      <c r="L48" s="61">
        <v>7115.875</v>
      </c>
      <c r="O48" s="266">
        <f>COUNTIF(O6:O46,"Yes")</f>
        <v>9</v>
      </c>
    </row>
    <row r="49" spans="2:2">
      <c r="B49" s="264" t="s">
        <v>54</v>
      </c>
    </row>
    <row r="50" spans="2:2">
      <c r="B50" s="205" t="s">
        <v>452</v>
      </c>
    </row>
    <row r="51" spans="2:2">
      <c r="B51" s="205" t="s">
        <v>454</v>
      </c>
    </row>
  </sheetData>
  <mergeCells count="3">
    <mergeCell ref="D4:I4"/>
    <mergeCell ref="J4:O4"/>
    <mergeCell ref="A2:C2"/>
  </mergeCells>
  <pageMargins left="0.75" right="0.75" top="1" bottom="1" header="0.5" footer="0.5"/>
  <pageSetup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sheetViews>
  <sheetFormatPr defaultRowHeight="12.75"/>
  <cols>
    <col min="1" max="1" width="4.42578125" style="4" customWidth="1"/>
    <col min="2" max="2" width="9.42578125" style="4" bestFit="1" customWidth="1"/>
    <col min="3" max="3" width="23.140625" style="4" customWidth="1"/>
    <col min="4" max="27" width="10.28515625" style="4" bestFit="1" customWidth="1"/>
    <col min="28" max="16384" width="9.140625" style="4"/>
  </cols>
  <sheetData>
    <row r="1" spans="1:27" ht="20.25">
      <c r="A1" s="273" t="s">
        <v>497</v>
      </c>
    </row>
    <row r="2" spans="1:27" ht="15.75">
      <c r="A2" s="275" t="s">
        <v>455</v>
      </c>
    </row>
    <row r="3" spans="1:27" ht="15">
      <c r="A3" s="329">
        <v>41736</v>
      </c>
      <c r="B3" s="329"/>
      <c r="C3" s="329"/>
    </row>
    <row r="4" spans="1:27" ht="15">
      <c r="B4" s="274"/>
      <c r="C4" s="274"/>
    </row>
    <row r="5" spans="1:27">
      <c r="D5" s="330" t="s">
        <v>442</v>
      </c>
      <c r="E5" s="331"/>
      <c r="F5" s="331"/>
      <c r="G5" s="331"/>
      <c r="H5" s="331"/>
      <c r="I5" s="331"/>
      <c r="J5" s="331"/>
      <c r="K5" s="331"/>
      <c r="L5" s="331"/>
      <c r="M5" s="331"/>
      <c r="N5" s="331"/>
      <c r="O5" s="331"/>
      <c r="P5" s="331"/>
      <c r="Q5" s="331"/>
      <c r="R5" s="331"/>
      <c r="S5" s="331"/>
      <c r="T5" s="331"/>
      <c r="U5" s="331"/>
      <c r="V5" s="331"/>
      <c r="W5" s="331"/>
      <c r="X5" s="331"/>
      <c r="Y5" s="331"/>
      <c r="Z5" s="331"/>
      <c r="AA5" s="332"/>
    </row>
    <row r="6" spans="1:27">
      <c r="D6" s="282">
        <v>41548</v>
      </c>
      <c r="E6" s="282">
        <v>41548</v>
      </c>
      <c r="F6" s="282">
        <v>41579</v>
      </c>
      <c r="G6" s="282">
        <v>41579</v>
      </c>
      <c r="H6" s="282">
        <v>41609</v>
      </c>
      <c r="I6" s="282">
        <v>41609</v>
      </c>
      <c r="J6" s="282">
        <v>41640</v>
      </c>
      <c r="K6" s="282">
        <v>41640</v>
      </c>
      <c r="L6" s="282">
        <v>41671</v>
      </c>
      <c r="M6" s="282">
        <v>41671</v>
      </c>
      <c r="N6" s="282">
        <v>41699</v>
      </c>
      <c r="O6" s="282">
        <v>41699</v>
      </c>
      <c r="P6" s="282">
        <v>41730</v>
      </c>
      <c r="Q6" s="282">
        <v>41730</v>
      </c>
      <c r="R6" s="282">
        <v>41760</v>
      </c>
      <c r="S6" s="282">
        <v>41760</v>
      </c>
      <c r="T6" s="282">
        <v>41791</v>
      </c>
      <c r="U6" s="282">
        <v>41791</v>
      </c>
      <c r="V6" s="282">
        <v>41821</v>
      </c>
      <c r="W6" s="282">
        <v>41821</v>
      </c>
      <c r="X6" s="282">
        <v>41852</v>
      </c>
      <c r="Y6" s="282">
        <v>41852</v>
      </c>
      <c r="Z6" s="282">
        <v>41883</v>
      </c>
      <c r="AA6" s="282">
        <v>41883</v>
      </c>
    </row>
    <row r="7" spans="1:27">
      <c r="B7" s="279" t="s">
        <v>0</v>
      </c>
      <c r="C7" s="279" t="s">
        <v>55</v>
      </c>
      <c r="D7" s="281" t="s">
        <v>440</v>
      </c>
      <c r="E7" s="281" t="s">
        <v>441</v>
      </c>
      <c r="F7" s="281" t="s">
        <v>440</v>
      </c>
      <c r="G7" s="281" t="s">
        <v>441</v>
      </c>
      <c r="H7" s="281" t="s">
        <v>440</v>
      </c>
      <c r="I7" s="281" t="s">
        <v>441</v>
      </c>
      <c r="J7" s="281" t="s">
        <v>440</v>
      </c>
      <c r="K7" s="281" t="s">
        <v>441</v>
      </c>
      <c r="L7" s="281" t="s">
        <v>440</v>
      </c>
      <c r="M7" s="281" t="s">
        <v>441</v>
      </c>
      <c r="N7" s="281" t="s">
        <v>440</v>
      </c>
      <c r="O7" s="281" t="s">
        <v>441</v>
      </c>
      <c r="P7" s="281" t="s">
        <v>440</v>
      </c>
      <c r="Q7" s="281" t="s">
        <v>441</v>
      </c>
      <c r="R7" s="281" t="s">
        <v>440</v>
      </c>
      <c r="S7" s="281" t="s">
        <v>441</v>
      </c>
      <c r="T7" s="281" t="s">
        <v>440</v>
      </c>
      <c r="U7" s="281" t="s">
        <v>441</v>
      </c>
      <c r="V7" s="281" t="s">
        <v>440</v>
      </c>
      <c r="W7" s="281" t="s">
        <v>441</v>
      </c>
      <c r="X7" s="281" t="s">
        <v>440</v>
      </c>
      <c r="Y7" s="281" t="s">
        <v>441</v>
      </c>
      <c r="Z7" s="281" t="s">
        <v>440</v>
      </c>
      <c r="AA7" s="281" t="s">
        <v>441</v>
      </c>
    </row>
    <row r="8" spans="1:27">
      <c r="A8" s="278">
        <v>-1</v>
      </c>
      <c r="B8" s="210">
        <v>10015</v>
      </c>
      <c r="C8" s="286" t="str">
        <f>VLOOKUP(B8,'Retained Provisional CHWM Calcs'!$B$10:$C$50,2,FALSE)</f>
        <v>ASOTIN</v>
      </c>
      <c r="D8" s="47">
        <f>(VLOOKUP($B8,'TOCA Updates'!$B$6:$M$46,12,FALSE))*$D$22</f>
        <v>241.76231057724235</v>
      </c>
      <c r="E8" s="47">
        <f>(VLOOKUP($B8,'TOCA Updates'!$B$6:$M$46,12,FALSE))*$E$22</f>
        <v>134.01616408213974</v>
      </c>
      <c r="F8" s="47">
        <f>(VLOOKUP($B8,'TOCA Updates'!$B$6:$M$46,12,FALSE))*$F$22</f>
        <v>286.58072813149749</v>
      </c>
      <c r="G8" s="47">
        <f>(VLOOKUP($B8,'TOCA Updates'!$B$6:$M$46,12,FALSE))*$G$22</f>
        <v>173.68957621951918</v>
      </c>
      <c r="H8" s="47">
        <f>(VLOOKUP($B8,'TOCA Updates'!$B$6:$M$46,12,FALSE))*$H$22</f>
        <v>286.23974629031437</v>
      </c>
      <c r="I8" s="47">
        <f>(VLOOKUP($B8,'TOCA Updates'!$B$6:$M$46,12,FALSE))*$I$22</f>
        <v>178.16528527630027</v>
      </c>
      <c r="J8" s="47">
        <f>(VLOOKUP($B8,'TOCA Updates'!$B$6:$M$46,12,FALSE))*$J$22</f>
        <v>294.23777139842559</v>
      </c>
      <c r="K8" s="47">
        <f>(VLOOKUP($B8,'TOCA Updates'!$B$6:$M$46,12,FALSE))*$K$22</f>
        <v>167.54077944565293</v>
      </c>
      <c r="L8" s="47">
        <f>(VLOOKUP($B8,'TOCA Updates'!$B$6:$M$46,12,FALSE))*$L$22</f>
        <v>235.46375527288569</v>
      </c>
      <c r="M8" s="47">
        <f>(VLOOKUP($B8,'TOCA Updates'!$B$6:$M$46,12,FALSE))*$M$22</f>
        <v>138.47521637755727</v>
      </c>
      <c r="N8" s="47">
        <f>(VLOOKUP($B8,'TOCA Updates'!$B$6:$M$46,12,FALSE))*$N$22</f>
        <v>238.69125984380651</v>
      </c>
      <c r="O8" s="47">
        <f>(VLOOKUP($B8,'TOCA Updates'!$B$6:$M$46,12,FALSE))*$O$22</f>
        <v>150.17467789267477</v>
      </c>
      <c r="P8" s="47">
        <f>(VLOOKUP($B8,'TOCA Updates'!$B$6:$M$46,12,FALSE))*$P$22</f>
        <v>171.87717998608036</v>
      </c>
      <c r="Q8" s="47">
        <f>(VLOOKUP($B8,'TOCA Updates'!$B$6:$M$46,12,FALSE))*$Q$22</f>
        <v>112.54251887863303</v>
      </c>
      <c r="R8" s="47">
        <f>(VLOOKUP($B8,'TOCA Updates'!$B$6:$M$46,12,FALSE))*$R$22</f>
        <v>334.91847597456996</v>
      </c>
      <c r="S8" s="47">
        <f>(VLOOKUP($B8,'TOCA Updates'!$B$6:$M$46,12,FALSE))*$S$22</f>
        <v>208.18509572862288</v>
      </c>
      <c r="T8" s="47">
        <f>(VLOOKUP($B8,'TOCA Updates'!$B$6:$M$46,12,FALSE))*$T$22</f>
        <v>288.63515253290507</v>
      </c>
      <c r="U8" s="47">
        <f>(VLOOKUP($B8,'TOCA Updates'!$B$6:$M$46,12,FALSE))*$U$22</f>
        <v>158.64831481605171</v>
      </c>
      <c r="V8" s="47">
        <f>(VLOOKUP($B8,'TOCA Updates'!$B$6:$M$46,12,FALSE))*$V$22</f>
        <v>309.78495428348498</v>
      </c>
      <c r="W8" s="47">
        <f>(VLOOKUP($B8,'TOCA Updates'!$B$6:$M$46,12,FALSE))*$W$22</f>
        <v>156.82340632471858</v>
      </c>
      <c r="X8" s="47">
        <f>(VLOOKUP($B8,'TOCA Updates'!$B$6:$M$46,12,FALSE))*$X$22</f>
        <v>265.17712071843488</v>
      </c>
      <c r="Y8" s="47">
        <f>(VLOOKUP($B8,'TOCA Updates'!$B$6:$M$46,12,FALSE))*$Y$22</f>
        <v>144.19295356948516</v>
      </c>
      <c r="Z8" s="47">
        <f>(VLOOKUP($B8,'TOCA Updates'!$B$6:$M$46,12,FALSE))*$Z$22</f>
        <v>230.8289292249832</v>
      </c>
      <c r="AA8" s="47">
        <f>(VLOOKUP($B8,'TOCA Updates'!$B$6:$M$46,12,FALSE))*$AA$22</f>
        <v>136.37231851401376</v>
      </c>
    </row>
    <row r="9" spans="1:27">
      <c r="A9" s="278">
        <v>-2</v>
      </c>
      <c r="B9" s="221">
        <v>10068</v>
      </c>
      <c r="C9" s="268" t="str">
        <f>VLOOKUP(B9,'Retained Provisional CHWM Calcs'!$B$10:$C$50,2,FALSE)</f>
        <v>CHEWELAH</v>
      </c>
      <c r="D9" s="17">
        <f>(VLOOKUP($B9,'TOCA Updates'!$B$6:$M$46,12,FALSE))*$D$22</f>
        <v>1167.870345779806</v>
      </c>
      <c r="E9" s="17">
        <f>(VLOOKUP($B9,'TOCA Updates'!$B$6:$M$46,12,FALSE))*$E$22</f>
        <v>647.38587049814851</v>
      </c>
      <c r="F9" s="17">
        <f>(VLOOKUP($B9,'TOCA Updates'!$B$6:$M$46,12,FALSE))*$F$22</f>
        <v>1384.3726644473327</v>
      </c>
      <c r="G9" s="17">
        <f>(VLOOKUP($B9,'TOCA Updates'!$B$6:$M$46,12,FALSE))*$G$22</f>
        <v>839.03444235584789</v>
      </c>
      <c r="H9" s="17">
        <f>(VLOOKUP($B9,'TOCA Updates'!$B$6:$M$46,12,FALSE))*$H$22</f>
        <v>1382.7254987670563</v>
      </c>
      <c r="I9" s="17">
        <f>(VLOOKUP($B9,'TOCA Updates'!$B$6:$M$46,12,FALSE))*$I$22</f>
        <v>860.65504927043435</v>
      </c>
      <c r="J9" s="17">
        <f>(VLOOKUP($B9,'TOCA Updates'!$B$6:$M$46,12,FALSE))*$J$22</f>
        <v>1421.3611997837418</v>
      </c>
      <c r="K9" s="17">
        <f>(VLOOKUP($B9,'TOCA Updates'!$B$6:$M$46,12,FALSE))*$K$22</f>
        <v>809.33172567813551</v>
      </c>
      <c r="L9" s="17">
        <f>(VLOOKUP($B9,'TOCA Updates'!$B$6:$M$46,12,FALSE))*$L$22</f>
        <v>1137.4441972885504</v>
      </c>
      <c r="M9" s="17">
        <f>(VLOOKUP($B9,'TOCA Updates'!$B$6:$M$46,12,FALSE))*$M$22</f>
        <v>668.92601434300843</v>
      </c>
      <c r="N9" s="17">
        <f>(VLOOKUP($B9,'TOCA Updates'!$B$6:$M$46,12,FALSE))*$N$22</f>
        <v>1153.0351588004894</v>
      </c>
      <c r="O9" s="17">
        <f>(VLOOKUP($B9,'TOCA Updates'!$B$6:$M$46,12,FALSE))*$O$22</f>
        <v>725.44207812678985</v>
      </c>
      <c r="P9" s="17">
        <f>(VLOOKUP($B9,'TOCA Updates'!$B$6:$M$46,12,FALSE))*$P$22</f>
        <v>830.27938119357486</v>
      </c>
      <c r="Q9" s="17">
        <f>(VLOOKUP($B9,'TOCA Updates'!$B$6:$M$46,12,FALSE))*$Q$22</f>
        <v>543.65409614054124</v>
      </c>
      <c r="R9" s="17">
        <f>(VLOOKUP($B9,'TOCA Updates'!$B$6:$M$46,12,FALSE))*$R$22</f>
        <v>1617.8756540279596</v>
      </c>
      <c r="S9" s="17">
        <f>(VLOOKUP($B9,'TOCA Updates'!$B$6:$M$46,12,FALSE))*$S$22</f>
        <v>1005.6704006272661</v>
      </c>
      <c r="T9" s="17">
        <f>(VLOOKUP($B9,'TOCA Updates'!$B$6:$M$46,12,FALSE))*$T$22</f>
        <v>1394.2968802207579</v>
      </c>
      <c r="U9" s="17">
        <f>(VLOOKUP($B9,'TOCA Updates'!$B$6:$M$46,12,FALSE))*$U$22</f>
        <v>766.37529579867737</v>
      </c>
      <c r="V9" s="17">
        <f>(VLOOKUP($B9,'TOCA Updates'!$B$6:$M$46,12,FALSE))*$V$22</f>
        <v>1496.4642785412354</v>
      </c>
      <c r="W9" s="17">
        <f>(VLOOKUP($B9,'TOCA Updates'!$B$6:$M$46,12,FALSE))*$W$22</f>
        <v>757.55979223362203</v>
      </c>
      <c r="X9" s="17">
        <f>(VLOOKUP($B9,'TOCA Updates'!$B$6:$M$46,12,FALSE))*$X$22</f>
        <v>1280.9792185014135</v>
      </c>
      <c r="Y9" s="17">
        <f>(VLOOKUP($B9,'TOCA Updates'!$B$6:$M$46,12,FALSE))*$Y$22</f>
        <v>696.54643083998519</v>
      </c>
      <c r="Z9" s="17">
        <f>(VLOOKUP($B9,'TOCA Updates'!$B$6:$M$46,12,FALSE))*$Z$22</f>
        <v>1115.0549510645667</v>
      </c>
      <c r="AA9" s="17">
        <f>(VLOOKUP($B9,'TOCA Updates'!$B$6:$M$46,12,FALSE))*$AA$22</f>
        <v>658.76763999105788</v>
      </c>
    </row>
    <row r="10" spans="1:27">
      <c r="A10" s="278">
        <v>-3</v>
      </c>
      <c r="B10" s="210">
        <v>10071</v>
      </c>
      <c r="C10" s="286" t="str">
        <f>VLOOKUP(B10,'Retained Provisional CHWM Calcs'!$B$10:$C$50,2,FALSE)</f>
        <v>DRAIN</v>
      </c>
      <c r="D10" s="47">
        <f>(VLOOKUP($B10,'TOCA Updates'!$B$6:$M$46,12,FALSE))*$D$22</f>
        <v>807.16934594453835</v>
      </c>
      <c r="E10" s="47">
        <f>(VLOOKUP($B10,'TOCA Updates'!$B$6:$M$46,12,FALSE))*$E$22</f>
        <v>447.43839207151973</v>
      </c>
      <c r="F10" s="47">
        <f>(VLOOKUP($B10,'TOCA Updates'!$B$6:$M$46,12,FALSE))*$F$22</f>
        <v>956.80413681480184</v>
      </c>
      <c r="G10" s="47">
        <f>(VLOOKUP($B10,'TOCA Updates'!$B$6:$M$46,12,FALSE))*$G$22</f>
        <v>579.89560614205357</v>
      </c>
      <c r="H10" s="47">
        <f>(VLOOKUP($B10,'TOCA Updates'!$B$6:$M$46,12,FALSE))*$H$22</f>
        <v>955.66570423997416</v>
      </c>
      <c r="I10" s="47">
        <f>(VLOOKUP($B10,'TOCA Updates'!$B$6:$M$46,12,FALSE))*$I$22</f>
        <v>594.83861005103461</v>
      </c>
      <c r="J10" s="47">
        <f>(VLOOKUP($B10,'TOCA Updates'!$B$6:$M$46,12,FALSE))*$J$22</f>
        <v>982.36862861204884</v>
      </c>
      <c r="K10" s="47">
        <f>(VLOOKUP($B10,'TOCA Updates'!$B$6:$M$46,12,FALSE))*$K$22</f>
        <v>559.36668143721704</v>
      </c>
      <c r="L10" s="47">
        <f>(VLOOKUP($B10,'TOCA Updates'!$B$6:$M$46,12,FALSE))*$L$22</f>
        <v>786.14042397041317</v>
      </c>
      <c r="M10" s="47">
        <f>(VLOOKUP($B10,'TOCA Updates'!$B$6:$M$46,12,FALSE))*$M$22</f>
        <v>462.3257842222277</v>
      </c>
      <c r="N10" s="47">
        <f>(VLOOKUP($B10,'TOCA Updates'!$B$6:$M$46,12,FALSE))*$N$22</f>
        <v>796.91606036850601</v>
      </c>
      <c r="O10" s="47">
        <f>(VLOOKUP($B10,'TOCA Updates'!$B$6:$M$46,12,FALSE))*$O$22</f>
        <v>501.38665635119224</v>
      </c>
      <c r="P10" s="47">
        <f>(VLOOKUP($B10,'TOCA Updates'!$B$6:$M$46,12,FALSE))*$P$22</f>
        <v>573.844577431895</v>
      </c>
      <c r="Q10" s="47">
        <f>(VLOOKUP($B10,'TOCA Updates'!$B$6:$M$46,12,FALSE))*$Q$22</f>
        <v>375.74455314114687</v>
      </c>
      <c r="R10" s="47">
        <f>(VLOOKUP($B10,'TOCA Updates'!$B$6:$M$46,12,FALSE))*$R$22</f>
        <v>1118.1888796134901</v>
      </c>
      <c r="S10" s="47">
        <f>(VLOOKUP($B10,'TOCA Updates'!$B$6:$M$46,12,FALSE))*$S$22</f>
        <v>695.06544321756542</v>
      </c>
      <c r="T10" s="47">
        <f>(VLOOKUP($B10,'TOCA Updates'!$B$6:$M$46,12,FALSE))*$T$22</f>
        <v>963.66322248625045</v>
      </c>
      <c r="U10" s="47">
        <f>(VLOOKUP($B10,'TOCA Updates'!$B$6:$M$46,12,FALSE))*$U$22</f>
        <v>529.67750101131719</v>
      </c>
      <c r="V10" s="47">
        <f>(VLOOKUP($B10,'TOCA Updates'!$B$6:$M$46,12,FALSE))*$V$22</f>
        <v>1034.2758486028345</v>
      </c>
      <c r="W10" s="47">
        <f>(VLOOKUP($B10,'TOCA Updates'!$B$6:$M$46,12,FALSE))*$W$22</f>
        <v>523.58469775409753</v>
      </c>
      <c r="X10" s="47">
        <f>(VLOOKUP($B10,'TOCA Updates'!$B$6:$M$46,12,FALSE))*$X$22</f>
        <v>885.34413233682653</v>
      </c>
      <c r="Y10" s="47">
        <f>(VLOOKUP($B10,'TOCA Updates'!$B$6:$M$46,12,FALSE))*$Y$22</f>
        <v>481.41553472333675</v>
      </c>
      <c r="Z10" s="47">
        <f>(VLOOKUP($B10,'TOCA Updates'!$B$6:$M$46,12,FALSE))*$Z$22</f>
        <v>770.66617779564854</v>
      </c>
      <c r="AA10" s="47">
        <f>(VLOOKUP($B10,'TOCA Updates'!$B$6:$M$46,12,FALSE))*$AA$22</f>
        <v>455.30486070006327</v>
      </c>
    </row>
    <row r="11" spans="1:27">
      <c r="A11" s="278">
        <v>-4</v>
      </c>
      <c r="B11" s="221">
        <v>10105</v>
      </c>
      <c r="C11" s="268" t="str">
        <f>VLOOKUP(B11,'Retained Provisional CHWM Calcs'!$B$10:$C$50,2,FALSE)</f>
        <v>CLATSKANIE PUD</v>
      </c>
      <c r="D11" s="17">
        <f>(VLOOKUP($B11,'TOCA Updates'!$B$6:$M$46,12,FALSE))*$D$22</f>
        <v>17437.069295267629</v>
      </c>
      <c r="E11" s="17">
        <f>(VLOOKUP($B11,'TOCA Updates'!$B$6:$M$46,12,FALSE))*$E$22</f>
        <v>9665.8951273532402</v>
      </c>
      <c r="F11" s="17">
        <f>(VLOOKUP($B11,'TOCA Updates'!$B$6:$M$46,12,FALSE))*$F$22</f>
        <v>20669.590736396469</v>
      </c>
      <c r="G11" s="17">
        <f>(VLOOKUP($B11,'TOCA Updates'!$B$6:$M$46,12,FALSE))*$G$22</f>
        <v>12527.333847753676</v>
      </c>
      <c r="H11" s="17">
        <f>(VLOOKUP($B11,'TOCA Updates'!$B$6:$M$46,12,FALSE))*$H$22</f>
        <v>20644.997473786836</v>
      </c>
      <c r="I11" s="17">
        <f>(VLOOKUP($B11,'TOCA Updates'!$B$6:$M$46,12,FALSE))*$I$22</f>
        <v>12850.143671924403</v>
      </c>
      <c r="J11" s="17">
        <f>(VLOOKUP($B11,'TOCA Updates'!$B$6:$M$46,12,FALSE))*$J$22</f>
        <v>21221.853798920558</v>
      </c>
      <c r="K11" s="17">
        <f>(VLOOKUP($B11,'TOCA Updates'!$B$6:$M$46,12,FALSE))*$K$22</f>
        <v>12083.852830499878</v>
      </c>
      <c r="L11" s="17">
        <f>(VLOOKUP($B11,'TOCA Updates'!$B$6:$M$46,12,FALSE))*$L$22</f>
        <v>16982.786967141663</v>
      </c>
      <c r="M11" s="17">
        <f>(VLOOKUP($B11,'TOCA Updates'!$B$6:$M$46,12,FALSE))*$M$22</f>
        <v>9987.5035851842877</v>
      </c>
      <c r="N11" s="17">
        <f>(VLOOKUP($B11,'TOCA Updates'!$B$6:$M$46,12,FALSE))*$N$22</f>
        <v>17215.570235631971</v>
      </c>
      <c r="O11" s="17">
        <f>(VLOOKUP($B11,'TOCA Updates'!$B$6:$M$46,12,FALSE))*$O$22</f>
        <v>10831.325439257947</v>
      </c>
      <c r="P11" s="17">
        <f>(VLOOKUP($B11,'TOCA Updates'!$B$6:$M$46,12,FALSE))*$P$22</f>
        <v>12396.615049453403</v>
      </c>
      <c r="Q11" s="17">
        <f>(VLOOKUP($B11,'TOCA Updates'!$B$6:$M$46,12,FALSE))*$Q$22</f>
        <v>8117.1117849806651</v>
      </c>
      <c r="R11" s="17">
        <f>(VLOOKUP($B11,'TOCA Updates'!$B$6:$M$46,12,FALSE))*$R$22</f>
        <v>24155.943330828406</v>
      </c>
      <c r="S11" s="17">
        <f>(VLOOKUP($B11,'TOCA Updates'!$B$6:$M$46,12,FALSE))*$S$22</f>
        <v>15015.31786238494</v>
      </c>
      <c r="T11" s="17">
        <f>(VLOOKUP($B11,'TOCA Updates'!$B$6:$M$46,12,FALSE))*$T$22</f>
        <v>20817.765778915298</v>
      </c>
      <c r="U11" s="17">
        <f>(VLOOKUP($B11,'TOCA Updates'!$B$6:$M$46,12,FALSE))*$U$22</f>
        <v>11442.485193080098</v>
      </c>
      <c r="V11" s="17">
        <f>(VLOOKUP($B11,'TOCA Updates'!$B$6:$M$46,12,FALSE))*$V$22</f>
        <v>22343.191962283145</v>
      </c>
      <c r="W11" s="17">
        <f>(VLOOKUP($B11,'TOCA Updates'!$B$6:$M$46,12,FALSE))*$W$22</f>
        <v>11310.863950112489</v>
      </c>
      <c r="X11" s="17">
        <f>(VLOOKUP($B11,'TOCA Updates'!$B$6:$M$46,12,FALSE))*$X$22</f>
        <v>19125.858858838019</v>
      </c>
      <c r="Y11" s="17">
        <f>(VLOOKUP($B11,'TOCA Updates'!$B$6:$M$46,12,FALSE))*$Y$22</f>
        <v>10399.894496694547</v>
      </c>
      <c r="Z11" s="17">
        <f>(VLOOKUP($B11,'TOCA Updates'!$B$6:$M$46,12,FALSE))*$Z$22</f>
        <v>16648.500854571746</v>
      </c>
      <c r="AA11" s="17">
        <f>(VLOOKUP($B11,'TOCA Updates'!$B$6:$M$46,12,FALSE))*$AA$22</f>
        <v>9835.8324016986262</v>
      </c>
    </row>
    <row r="12" spans="1:27">
      <c r="A12" s="278">
        <v>-5</v>
      </c>
      <c r="B12" s="210">
        <v>10172</v>
      </c>
      <c r="C12" s="286" t="str">
        <f>VLOOKUP(B12,'Retained Provisional CHWM Calcs'!$B$10:$C$50,2,FALSE)</f>
        <v>FAIRCHILD</v>
      </c>
      <c r="D12" s="47">
        <f>(VLOOKUP($B12,'TOCA Updates'!$B$6:$M$46,12,FALSE))*$D$22</f>
        <v>2573.0203882200944</v>
      </c>
      <c r="E12" s="47">
        <f>(VLOOKUP($B12,'TOCA Updates'!$B$6:$M$46,12,FALSE))*$E$22</f>
        <v>1426.3030565478655</v>
      </c>
      <c r="F12" s="47">
        <f>(VLOOKUP($B12,'TOCA Updates'!$B$6:$M$46,12,FALSE))*$F$22</f>
        <v>3050.0124464922042</v>
      </c>
      <c r="G12" s="47">
        <f>(VLOOKUP($B12,'TOCA Updates'!$B$6:$M$46,12,FALSE))*$G$22</f>
        <v>1848.5380114339432</v>
      </c>
      <c r="H12" s="47">
        <f>(VLOOKUP($B12,'TOCA Updates'!$B$6:$M$46,12,FALSE))*$H$22</f>
        <v>3046.3834555742974</v>
      </c>
      <c r="I12" s="47">
        <f>(VLOOKUP($B12,'TOCA Updates'!$B$6:$M$46,12,FALSE))*$I$22</f>
        <v>1896.1719483670522</v>
      </c>
      <c r="J12" s="47">
        <f>(VLOOKUP($B12,'TOCA Updates'!$B$6:$M$46,12,FALSE))*$J$22</f>
        <v>3131.5045880598814</v>
      </c>
      <c r="K12" s="47">
        <f>(VLOOKUP($B12,'TOCA Updates'!$B$6:$M$46,12,FALSE))*$K$22</f>
        <v>1783.0977886613989</v>
      </c>
      <c r="L12" s="47">
        <f>(VLOOKUP($B12,'TOCA Updates'!$B$6:$M$46,12,FALSE))*$L$22</f>
        <v>2505.9863200241602</v>
      </c>
      <c r="M12" s="47">
        <f>(VLOOKUP($B12,'TOCA Updates'!$B$6:$M$46,12,FALSE))*$M$22</f>
        <v>1473.7597194199855</v>
      </c>
      <c r="N12" s="47">
        <f>(VLOOKUP($B12,'TOCA Updates'!$B$6:$M$46,12,FALSE))*$N$22</f>
        <v>2540.3359051361854</v>
      </c>
      <c r="O12" s="47">
        <f>(VLOOKUP($B12,'TOCA Updates'!$B$6:$M$46,12,FALSE))*$O$22</f>
        <v>1598.274383999913</v>
      </c>
      <c r="P12" s="47">
        <f>(VLOOKUP($B12,'TOCA Updates'!$B$6:$M$46,12,FALSE))*$P$22</f>
        <v>1829.2490972560593</v>
      </c>
      <c r="Q12" s="47">
        <f>(VLOOKUP($B12,'TOCA Updates'!$B$6:$M$46,12,FALSE))*$Q$22</f>
        <v>1197.7640142707421</v>
      </c>
      <c r="R12" s="47">
        <f>(VLOOKUP($B12,'TOCA Updates'!$B$6:$M$46,12,FALSE))*$R$22</f>
        <v>3564.4599235365231</v>
      </c>
      <c r="S12" s="47">
        <f>(VLOOKUP($B12,'TOCA Updates'!$B$6:$M$46,12,FALSE))*$S$22</f>
        <v>2215.6658519449234</v>
      </c>
      <c r="T12" s="47">
        <f>(VLOOKUP($B12,'TOCA Updates'!$B$6:$M$46,12,FALSE))*$T$22</f>
        <v>3071.8772105170738</v>
      </c>
      <c r="U12" s="47">
        <f>(VLOOKUP($B12,'TOCA Updates'!$B$6:$M$46,12,FALSE))*$U$22</f>
        <v>1688.4573430979049</v>
      </c>
      <c r="V12" s="47">
        <f>(VLOOKUP($B12,'TOCA Updates'!$B$6:$M$46,12,FALSE))*$V$22</f>
        <v>3296.9696617809714</v>
      </c>
      <c r="W12" s="47">
        <f>(VLOOKUP($B12,'TOCA Updates'!$B$6:$M$46,12,FALSE))*$W$22</f>
        <v>1669.0352638514548</v>
      </c>
      <c r="X12" s="47">
        <f>(VLOOKUP($B12,'TOCA Updates'!$B$6:$M$46,12,FALSE))*$X$22</f>
        <v>2822.2188002295729</v>
      </c>
      <c r="Y12" s="47">
        <f>(VLOOKUP($B12,'TOCA Updates'!$B$6:$M$46,12,FALSE))*$Y$22</f>
        <v>1534.6122747011955</v>
      </c>
      <c r="Z12" s="47">
        <f>(VLOOKUP($B12,'TOCA Updates'!$B$6:$M$46,12,FALSE))*$Z$22</f>
        <v>2456.6589377343698</v>
      </c>
      <c r="AA12" s="47">
        <f>(VLOOKUP($B12,'TOCA Updates'!$B$6:$M$46,12,FALSE))*$AA$22</f>
        <v>1451.3790635422231</v>
      </c>
    </row>
    <row r="13" spans="1:27">
      <c r="A13" s="278">
        <v>-6</v>
      </c>
      <c r="B13" s="221">
        <v>10286</v>
      </c>
      <c r="C13" s="268" t="str">
        <f>VLOOKUP(B13,'Retained Provisional CHWM Calcs'!$B$10:$C$50,2,FALSE)</f>
        <v>OKANOGAN PUD</v>
      </c>
      <c r="D13" s="17">
        <f>(VLOOKUP($B13,'TOCA Updates'!$B$6:$M$46,12,FALSE))*$D$22</f>
        <v>8555.2180805998687</v>
      </c>
      <c r="E13" s="17">
        <f>(VLOOKUP($B13,'TOCA Updates'!$B$6:$M$46,12,FALSE))*$E$22</f>
        <v>4742.4162488794764</v>
      </c>
      <c r="F13" s="17">
        <f>(VLOOKUP($B13,'TOCA Updates'!$B$6:$M$46,12,FALSE))*$F$22</f>
        <v>10141.202824411013</v>
      </c>
      <c r="G13" s="17">
        <f>(VLOOKUP($B13,'TOCA Updates'!$B$6:$M$46,12,FALSE))*$G$22</f>
        <v>6146.3352138595737</v>
      </c>
      <c r="H13" s="17">
        <f>(VLOOKUP($B13,'TOCA Updates'!$B$6:$M$46,12,FALSE))*$H$22</f>
        <v>10129.136534980369</v>
      </c>
      <c r="I13" s="17">
        <f>(VLOOKUP($B13,'TOCA Updates'!$B$6:$M$46,12,FALSE))*$I$22</f>
        <v>6304.7166710629463</v>
      </c>
      <c r="J13" s="17">
        <f>(VLOOKUP($B13,'TOCA Updates'!$B$6:$M$46,12,FALSE))*$J$22</f>
        <v>10412.161828917338</v>
      </c>
      <c r="K13" s="17">
        <f>(VLOOKUP($B13,'TOCA Updates'!$B$6:$M$46,12,FALSE))*$K$22</f>
        <v>5928.7483732634755</v>
      </c>
      <c r="L13" s="17">
        <f>(VLOOKUP($B13,'TOCA Updates'!$B$6:$M$46,12,FALSE))*$L$22</f>
        <v>8332.3317502499031</v>
      </c>
      <c r="M13" s="17">
        <f>(VLOOKUP($B13,'TOCA Updates'!$B$6:$M$46,12,FALSE))*$M$22</f>
        <v>4900.2082749773917</v>
      </c>
      <c r="N13" s="17">
        <f>(VLOOKUP($B13,'TOCA Updates'!$B$6:$M$46,12,FALSE))*$N$22</f>
        <v>8446.543123372674</v>
      </c>
      <c r="O13" s="17">
        <f>(VLOOKUP($B13,'TOCA Updates'!$B$6:$M$46,12,FALSE))*$O$22</f>
        <v>5314.2159192972722</v>
      </c>
      <c r="P13" s="17">
        <f>(VLOOKUP($B13,'TOCA Updates'!$B$6:$M$46,12,FALSE))*$P$22</f>
        <v>6082.2001342911108</v>
      </c>
      <c r="Q13" s="17">
        <f>(VLOOKUP($B13,'TOCA Updates'!$B$6:$M$46,12,FALSE))*$Q$22</f>
        <v>3982.5305691687349</v>
      </c>
      <c r="R13" s="17">
        <f>(VLOOKUP($B13,'TOCA Updates'!$B$6:$M$46,12,FALSE))*$R$22</f>
        <v>11851.72574808404</v>
      </c>
      <c r="S13" s="17">
        <f>(VLOOKUP($B13,'TOCA Updates'!$B$6:$M$46,12,FALSE))*$S$22</f>
        <v>7367.0246236329003</v>
      </c>
      <c r="T13" s="17">
        <f>(VLOOKUP($B13,'TOCA Updates'!$B$6:$M$46,12,FALSE))*$T$22</f>
        <v>10213.902529928315</v>
      </c>
      <c r="U13" s="17">
        <f>(VLOOKUP($B13,'TOCA Updates'!$B$6:$M$46,12,FALSE))*$U$22</f>
        <v>5614.0716397452752</v>
      </c>
      <c r="V13" s="17">
        <f>(VLOOKUP($B13,'TOCA Updates'!$B$6:$M$46,12,FALSE))*$V$22</f>
        <v>10962.328394595314</v>
      </c>
      <c r="W13" s="17">
        <f>(VLOOKUP($B13,'TOCA Updates'!$B$6:$M$46,12,FALSE))*$W$22</f>
        <v>5549.4937901904123</v>
      </c>
      <c r="X13" s="17">
        <f>(VLOOKUP($B13,'TOCA Updates'!$B$6:$M$46,12,FALSE))*$X$22</f>
        <v>9383.7955648051338</v>
      </c>
      <c r="Y13" s="17">
        <f>(VLOOKUP($B13,'TOCA Updates'!$B$6:$M$46,12,FALSE))*$Y$22</f>
        <v>5102.5412543723378</v>
      </c>
      <c r="Z13" s="17">
        <f>(VLOOKUP($B13,'TOCA Updates'!$B$6:$M$46,12,FALSE))*$Z$22</f>
        <v>8168.3196364064515</v>
      </c>
      <c r="AA13" s="17">
        <f>(VLOOKUP($B13,'TOCA Updates'!$B$6:$M$46,12,FALSE))*$AA$22</f>
        <v>4825.7932440286604</v>
      </c>
    </row>
    <row r="14" spans="1:27">
      <c r="A14" s="278">
        <v>-7</v>
      </c>
      <c r="B14" s="210">
        <v>10306</v>
      </c>
      <c r="C14" s="286" t="str">
        <f>VLOOKUP(B14,'Retained Provisional CHWM Calcs'!$B$10:$C$50,2,FALSE)</f>
        <v>PEND OREILLE PUD</v>
      </c>
      <c r="D14" s="47">
        <f>(VLOOKUP($B14,'TOCA Updates'!$B$6:$M$46,12,FALSE))*$D$22</f>
        <v>10867.051497936762</v>
      </c>
      <c r="E14" s="47">
        <f>(VLOOKUP($B14,'TOCA Updates'!$B$6:$M$46,12,FALSE))*$E$22</f>
        <v>6023.935464379394</v>
      </c>
      <c r="F14" s="47">
        <f>(VLOOKUP($B14,'TOCA Updates'!$B$6:$M$46,12,FALSE))*$F$22</f>
        <v>12881.608897124566</v>
      </c>
      <c r="G14" s="47">
        <f>(VLOOKUP($B14,'TOCA Updates'!$B$6:$M$46,12,FALSE))*$G$22</f>
        <v>7807.2283679191542</v>
      </c>
      <c r="H14" s="47">
        <f>(VLOOKUP($B14,'TOCA Updates'!$B$6:$M$46,12,FALSE))*$H$22</f>
        <v>12866.281995180459</v>
      </c>
      <c r="I14" s="47">
        <f>(VLOOKUP($B14,'TOCA Updates'!$B$6:$M$46,12,FALSE))*$I$22</f>
        <v>8008.4084472031918</v>
      </c>
      <c r="J14" s="47">
        <f>(VLOOKUP($B14,'TOCA Updates'!$B$6:$M$46,12,FALSE))*$J$22</f>
        <v>13225.787786319343</v>
      </c>
      <c r="K14" s="47">
        <f>(VLOOKUP($B14,'TOCA Updates'!$B$6:$M$46,12,FALSE))*$K$22</f>
        <v>7530.8441332036136</v>
      </c>
      <c r="L14" s="47">
        <f>(VLOOKUP($B14,'TOCA Updates'!$B$6:$M$46,12,FALSE))*$L$22</f>
        <v>10583.935719089264</v>
      </c>
      <c r="M14" s="47">
        <f>(VLOOKUP($B14,'TOCA Updates'!$B$6:$M$46,12,FALSE))*$M$22</f>
        <v>6224.3668335642678</v>
      </c>
      <c r="N14" s="47">
        <f>(VLOOKUP($B14,'TOCA Updates'!$B$6:$M$46,12,FALSE))*$N$22</f>
        <v>10729.009855327788</v>
      </c>
      <c r="O14" s="47">
        <f>(VLOOKUP($B14,'TOCA Updates'!$B$6:$M$46,12,FALSE))*$O$22</f>
        <v>6750.2496747703644</v>
      </c>
      <c r="P14" s="47">
        <f>(VLOOKUP($B14,'TOCA Updates'!$B$6:$M$46,12,FALSE))*$P$22</f>
        <v>7725.762389386683</v>
      </c>
      <c r="Q14" s="47">
        <f>(VLOOKUP($B14,'TOCA Updates'!$B$6:$M$46,12,FALSE))*$Q$22</f>
        <v>5058.7097113752925</v>
      </c>
      <c r="R14" s="47">
        <f>(VLOOKUP($B14,'TOCA Updates'!$B$6:$M$46,12,FALSE))*$R$22</f>
        <v>15054.357800172142</v>
      </c>
      <c r="S14" s="47">
        <f>(VLOOKUP($B14,'TOCA Updates'!$B$6:$M$46,12,FALSE))*$S$22</f>
        <v>9357.7785180168648</v>
      </c>
      <c r="T14" s="47">
        <f>(VLOOKUP($B14,'TOCA Updates'!$B$6:$M$46,12,FALSE))*$T$22</f>
        <v>12973.953877263981</v>
      </c>
      <c r="U14" s="47">
        <f>(VLOOKUP($B14,'TOCA Updates'!$B$6:$M$46,12,FALSE))*$U$22</f>
        <v>7131.1338936599559</v>
      </c>
      <c r="V14" s="47">
        <f>(VLOOKUP($B14,'TOCA Updates'!$B$6:$M$46,12,FALSE))*$V$22</f>
        <v>13924.623087224534</v>
      </c>
      <c r="W14" s="47">
        <f>(VLOOKUP($B14,'TOCA Updates'!$B$6:$M$46,12,FALSE))*$W$22</f>
        <v>7049.1054976416153</v>
      </c>
      <c r="X14" s="47">
        <f>(VLOOKUP($B14,'TOCA Updates'!$B$6:$M$46,12,FALSE))*$X$22</f>
        <v>11919.531295185619</v>
      </c>
      <c r="Y14" s="47">
        <f>(VLOOKUP($B14,'TOCA Updates'!$B$6:$M$46,12,FALSE))*$Y$22</f>
        <v>6481.3752331282549</v>
      </c>
      <c r="Z14" s="47">
        <f>(VLOOKUP($B14,'TOCA Updates'!$B$6:$M$46,12,FALSE))*$Z$22</f>
        <v>10375.603439230272</v>
      </c>
      <c r="AA14" s="47">
        <f>(VLOOKUP($B14,'TOCA Updates'!$B$6:$M$46,12,FALSE))*$AA$22</f>
        <v>6129.8430042566088</v>
      </c>
    </row>
    <row r="15" spans="1:27">
      <c r="A15" s="278">
        <v>-8</v>
      </c>
      <c r="B15" s="221">
        <v>10342</v>
      </c>
      <c r="C15" s="268" t="str">
        <f>VLOOKUP(B15,'Retained Provisional CHWM Calcs'!$B$10:$C$50,2,FALSE)</f>
        <v>SALEM ELEC</v>
      </c>
      <c r="D15" s="17">
        <f>(VLOOKUP($B15,'TOCA Updates'!$B$6:$M$46,12,FALSE))*$D$22</f>
        <v>16316.415816077693</v>
      </c>
      <c r="E15" s="17">
        <f>(VLOOKUP($B15,'TOCA Updates'!$B$6:$M$46,12,FALSE))*$E$22</f>
        <v>9044.6829947104434</v>
      </c>
      <c r="F15" s="17">
        <f>(VLOOKUP($B15,'TOCA Updates'!$B$6:$M$46,12,FALSE))*$F$22</f>
        <v>19341.188102906835</v>
      </c>
      <c r="G15" s="17">
        <f>(VLOOKUP($B15,'TOCA Updates'!$B$6:$M$46,12,FALSE))*$G$22</f>
        <v>11722.221473435757</v>
      </c>
      <c r="H15" s="17">
        <f>(VLOOKUP($B15,'TOCA Updates'!$B$6:$M$46,12,FALSE))*$H$22</f>
        <v>19318.17541125448</v>
      </c>
      <c r="I15" s="17">
        <f>(VLOOKUP($B15,'TOCA Updates'!$B$6:$M$46,12,FALSE))*$I$22</f>
        <v>12024.284809395202</v>
      </c>
      <c r="J15" s="17">
        <f>(VLOOKUP($B15,'TOCA Updates'!$B$6:$M$46,12,FALSE))*$J$22</f>
        <v>19857.958072413643</v>
      </c>
      <c r="K15" s="17">
        <f>(VLOOKUP($B15,'TOCA Updates'!$B$6:$M$46,12,FALSE))*$K$22</f>
        <v>11307.242295368609</v>
      </c>
      <c r="L15" s="17">
        <f>(VLOOKUP($B15,'TOCA Updates'!$B$6:$M$46,12,FALSE))*$L$22</f>
        <v>15891.329510685149</v>
      </c>
      <c r="M15" s="17">
        <f>(VLOOKUP($B15,'TOCA Updates'!$B$6:$M$46,12,FALSE))*$M$22</f>
        <v>9345.6221742870821</v>
      </c>
      <c r="N15" s="17">
        <f>(VLOOKUP($B15,'TOCA Updates'!$B$6:$M$46,12,FALSE))*$N$22</f>
        <v>16109.152158482066</v>
      </c>
      <c r="O15" s="17">
        <f>(VLOOKUP($B15,'TOCA Updates'!$B$6:$M$46,12,FALSE))*$O$22</f>
        <v>10135.21290267262</v>
      </c>
      <c r="P15" s="17">
        <f>(VLOOKUP($B15,'TOCA Updates'!$B$6:$M$46,12,FALSE))*$P$22</f>
        <v>11599.903770160694</v>
      </c>
      <c r="Q15" s="17">
        <f>(VLOOKUP($B15,'TOCA Updates'!$B$6:$M$46,12,FALSE))*$Q$22</f>
        <v>7595.437562737312</v>
      </c>
      <c r="R15" s="17">
        <f>(VLOOKUP($B15,'TOCA Updates'!$B$6:$M$46,12,FALSE))*$R$22</f>
        <v>22603.478207336892</v>
      </c>
      <c r="S15" s="17">
        <f>(VLOOKUP($B15,'TOCA Updates'!$B$6:$M$46,12,FALSE))*$S$22</f>
        <v>14050.306602827048</v>
      </c>
      <c r="T15" s="17">
        <f>(VLOOKUP($B15,'TOCA Updates'!$B$6:$M$46,12,FALSE))*$T$22</f>
        <v>19479.840164578596</v>
      </c>
      <c r="U15" s="17">
        <f>(VLOOKUP($B15,'TOCA Updates'!$B$6:$M$46,12,FALSE))*$U$22</f>
        <v>10707.094364204706</v>
      </c>
      <c r="V15" s="17">
        <f>(VLOOKUP($B15,'TOCA Updates'!$B$6:$M$46,12,FALSE))*$V$22</f>
        <v>20907.22956603708</v>
      </c>
      <c r="W15" s="17">
        <f>(VLOOKUP($B15,'TOCA Updates'!$B$6:$M$46,12,FALSE))*$W$22</f>
        <v>10583.932214985551</v>
      </c>
      <c r="X15" s="17">
        <f>(VLOOKUP($B15,'TOCA Updates'!$B$6:$M$46,12,FALSE))*$X$22</f>
        <v>17896.669485915732</v>
      </c>
      <c r="Y15" s="17">
        <f>(VLOOKUP($B15,'TOCA Updates'!$B$6:$M$46,12,FALSE))*$Y$22</f>
        <v>9731.5093596295683</v>
      </c>
      <c r="Z15" s="17">
        <f>(VLOOKUP($B15,'TOCA Updates'!$B$6:$M$46,12,FALSE))*$Z$22</f>
        <v>15578.527449635178</v>
      </c>
      <c r="AA15" s="17">
        <f>(VLOOKUP($B15,'TOCA Updates'!$B$6:$M$46,12,FALSE))*$AA$22</f>
        <v>9203.6986632220487</v>
      </c>
    </row>
    <row r="16" spans="1:27">
      <c r="A16" s="278">
        <v>-9</v>
      </c>
      <c r="B16" s="210">
        <v>10378</v>
      </c>
      <c r="C16" s="286" t="str">
        <f>VLOOKUP(B16,'Retained Provisional CHWM Calcs'!$B$10:$C$50,2,FALSE)</f>
        <v>COULEE DAM</v>
      </c>
      <c r="D16" s="47">
        <f>(VLOOKUP($B16,'TOCA Updates'!$B$6:$M$46,12,FALSE))*$D$22</f>
        <v>851.99548511213584</v>
      </c>
      <c r="E16" s="47">
        <f>(VLOOKUP($B16,'TOCA Updates'!$B$6:$M$46,12,FALSE))*$E$22</f>
        <v>472.28687737723163</v>
      </c>
      <c r="F16" s="47">
        <f>(VLOOKUP($B16,'TOCA Updates'!$B$6:$M$46,12,FALSE))*$F$22</f>
        <v>1009.9402421543872</v>
      </c>
      <c r="G16" s="47">
        <f>(VLOOKUP($B16,'TOCA Updates'!$B$6:$M$46,12,FALSE))*$G$22</f>
        <v>612.10010111477027</v>
      </c>
      <c r="H16" s="47">
        <f>(VLOOKUP($B16,'TOCA Updates'!$B$6:$M$46,12,FALSE))*$H$22</f>
        <v>1008.7385867412685</v>
      </c>
      <c r="I16" s="47">
        <f>(VLOOKUP($B16,'TOCA Updates'!$B$6:$M$46,12,FALSE))*$I$22</f>
        <v>627.87296455220269</v>
      </c>
      <c r="J16" s="47">
        <f>(VLOOKUP($B16,'TOCA Updates'!$B$6:$M$46,12,FALSE))*$J$22</f>
        <v>1036.9244576723254</v>
      </c>
      <c r="K16" s="47">
        <f>(VLOOKUP($B16,'TOCA Updates'!$B$6:$M$46,12,FALSE))*$K$22</f>
        <v>590.43110284246779</v>
      </c>
      <c r="L16" s="47">
        <f>(VLOOKUP($B16,'TOCA Updates'!$B$6:$M$46,12,FALSE))*$L$22</f>
        <v>829.79872222867368</v>
      </c>
      <c r="M16" s="47">
        <f>(VLOOKUP($B16,'TOCA Updates'!$B$6:$M$46,12,FALSE))*$M$22</f>
        <v>488.00104065811593</v>
      </c>
      <c r="N16" s="47">
        <f>(VLOOKUP($B16,'TOCA Updates'!$B$6:$M$46,12,FALSE))*$N$22</f>
        <v>841.17278345450222</v>
      </c>
      <c r="O16" s="47">
        <f>(VLOOKUP($B16,'TOCA Updates'!$B$6:$M$46,12,FALSE))*$O$22</f>
        <v>529.23115781460535</v>
      </c>
      <c r="P16" s="47">
        <f>(VLOOKUP($B16,'TOCA Updates'!$B$6:$M$46,12,FALSE))*$P$22</f>
        <v>605.71302860360333</v>
      </c>
      <c r="Q16" s="47">
        <f>(VLOOKUP($B16,'TOCA Updates'!$B$6:$M$46,12,FALSE))*$Q$22</f>
        <v>396.61152203088102</v>
      </c>
      <c r="R16" s="47">
        <f>(VLOOKUP($B16,'TOCA Updates'!$B$6:$M$46,12,FALSE))*$R$22</f>
        <v>1180.2874845531508</v>
      </c>
      <c r="S16" s="47">
        <f>(VLOOKUP($B16,'TOCA Updates'!$B$6:$M$46,12,FALSE))*$S$22</f>
        <v>733.66589359988109</v>
      </c>
      <c r="T16" s="47">
        <f>(VLOOKUP($B16,'TOCA Updates'!$B$6:$M$46,12,FALSE))*$T$22</f>
        <v>1017.1802470597186</v>
      </c>
      <c r="U16" s="47">
        <f>(VLOOKUP($B16,'TOCA Updates'!$B$6:$M$46,12,FALSE))*$U$22</f>
        <v>559.09313416633302</v>
      </c>
      <c r="V16" s="47">
        <f>(VLOOKUP($B16,'TOCA Updates'!$B$6:$M$46,12,FALSE))*$V$22</f>
        <v>1091.7143444526771</v>
      </c>
      <c r="W16" s="47">
        <f>(VLOOKUP($B16,'TOCA Updates'!$B$6:$M$46,12,FALSE))*$W$22</f>
        <v>552.66196715917511</v>
      </c>
      <c r="X16" s="47">
        <f>(VLOOKUP($B16,'TOCA Updates'!$B$6:$M$46,12,FALSE))*$X$22</f>
        <v>934.51170725371799</v>
      </c>
      <c r="Y16" s="47">
        <f>(VLOOKUP($B16,'TOCA Updates'!$B$6:$M$46,12,FALSE))*$Y$22</f>
        <v>508.15094020593591</v>
      </c>
      <c r="Z16" s="47">
        <f>(VLOOKUP($B16,'TOCA Updates'!$B$6:$M$46,12,FALSE))*$Z$22</f>
        <v>813.46511399311134</v>
      </c>
      <c r="AA16" s="47">
        <f>(VLOOKUP($B16,'TOCA Updates'!$B$6:$M$46,12,FALSE))*$AA$22</f>
        <v>480.59021023912635</v>
      </c>
    </row>
    <row r="18" spans="2:29">
      <c r="D18" s="312"/>
    </row>
    <row r="20" spans="2:29">
      <c r="C20" s="285" t="s">
        <v>456</v>
      </c>
      <c r="D20" s="283">
        <v>41548</v>
      </c>
      <c r="E20" s="283">
        <v>41548</v>
      </c>
      <c r="F20" s="283">
        <v>41579</v>
      </c>
      <c r="G20" s="283">
        <v>41579</v>
      </c>
      <c r="H20" s="283">
        <v>41609</v>
      </c>
      <c r="I20" s="283">
        <v>41609</v>
      </c>
      <c r="J20" s="283">
        <v>41640</v>
      </c>
      <c r="K20" s="283">
        <v>41640</v>
      </c>
      <c r="L20" s="283">
        <v>41671</v>
      </c>
      <c r="M20" s="283">
        <v>41671</v>
      </c>
      <c r="N20" s="283">
        <v>41699</v>
      </c>
      <c r="O20" s="283">
        <v>41699</v>
      </c>
      <c r="P20" s="283">
        <v>41730</v>
      </c>
      <c r="Q20" s="283">
        <v>41730</v>
      </c>
      <c r="R20" s="283">
        <v>41760</v>
      </c>
      <c r="S20" s="283">
        <v>41760</v>
      </c>
      <c r="T20" s="283">
        <v>41791</v>
      </c>
      <c r="U20" s="283">
        <v>41791</v>
      </c>
      <c r="V20" s="283">
        <v>41821</v>
      </c>
      <c r="W20" s="283">
        <v>41821</v>
      </c>
      <c r="X20" s="283">
        <v>41852</v>
      </c>
      <c r="Y20" s="283">
        <v>41852</v>
      </c>
      <c r="Z20" s="283">
        <v>41883</v>
      </c>
      <c r="AA20" s="283">
        <v>41883</v>
      </c>
    </row>
    <row r="21" spans="2:29">
      <c r="B21" s="269"/>
      <c r="C21" s="271"/>
      <c r="D21" s="284" t="s">
        <v>440</v>
      </c>
      <c r="E21" s="284" t="s">
        <v>441</v>
      </c>
      <c r="F21" s="284" t="s">
        <v>440</v>
      </c>
      <c r="G21" s="284" t="s">
        <v>441</v>
      </c>
      <c r="H21" s="284" t="s">
        <v>440</v>
      </c>
      <c r="I21" s="284" t="s">
        <v>441</v>
      </c>
      <c r="J21" s="284" t="s">
        <v>440</v>
      </c>
      <c r="K21" s="284" t="s">
        <v>441</v>
      </c>
      <c r="L21" s="284" t="s">
        <v>440</v>
      </c>
      <c r="M21" s="284" t="s">
        <v>441</v>
      </c>
      <c r="N21" s="284" t="s">
        <v>440</v>
      </c>
      <c r="O21" s="284" t="s">
        <v>441</v>
      </c>
      <c r="P21" s="284" t="s">
        <v>440</v>
      </c>
      <c r="Q21" s="284" t="s">
        <v>441</v>
      </c>
      <c r="R21" s="284" t="s">
        <v>440</v>
      </c>
      <c r="S21" s="284" t="s">
        <v>441</v>
      </c>
      <c r="T21" s="284" t="s">
        <v>440</v>
      </c>
      <c r="U21" s="284" t="s">
        <v>441</v>
      </c>
      <c r="V21" s="284" t="s">
        <v>440</v>
      </c>
      <c r="W21" s="284" t="s">
        <v>441</v>
      </c>
      <c r="X21" s="284" t="s">
        <v>440</v>
      </c>
      <c r="Y21" s="284" t="s">
        <v>441</v>
      </c>
      <c r="Z21" s="284" t="s">
        <v>440</v>
      </c>
      <c r="AA21" s="284" t="s">
        <v>441</v>
      </c>
      <c r="AB21" s="270"/>
      <c r="AC21" s="270"/>
    </row>
    <row r="22" spans="2:29">
      <c r="D22" s="287">
        <v>2988409.2778398311</v>
      </c>
      <c r="E22" s="287">
        <v>1656565.6870474629</v>
      </c>
      <c r="F22" s="287">
        <v>3542407.0226390292</v>
      </c>
      <c r="G22" s="287">
        <v>2146966.3315144521</v>
      </c>
      <c r="H22" s="287">
        <v>3538192.1667529587</v>
      </c>
      <c r="I22" s="287">
        <v>2202290.300077877</v>
      </c>
      <c r="J22" s="287">
        <v>3637055.2706851121</v>
      </c>
      <c r="K22" s="287">
        <v>2070961.4270167234</v>
      </c>
      <c r="L22" s="287">
        <v>2910553.2172173755</v>
      </c>
      <c r="M22" s="287">
        <v>1711683.7623925498</v>
      </c>
      <c r="N22" s="287">
        <v>2950448.2057330841</v>
      </c>
      <c r="O22" s="287">
        <v>1856300.0975608747</v>
      </c>
      <c r="P22" s="287">
        <v>2124563.4114472233</v>
      </c>
      <c r="Q22" s="287">
        <v>1391131.2593156123</v>
      </c>
      <c r="R22" s="287">
        <v>4139906.9959773789</v>
      </c>
      <c r="S22" s="287">
        <v>2573363.3588210493</v>
      </c>
      <c r="T22" s="287">
        <v>3567801.6382312123</v>
      </c>
      <c r="U22" s="287">
        <v>1961042.2103343843</v>
      </c>
      <c r="V22" s="287">
        <v>3829233.0566561804</v>
      </c>
      <c r="W22" s="287">
        <v>1938484.6270051741</v>
      </c>
      <c r="X22" s="287">
        <v>3277838.3277927674</v>
      </c>
      <c r="Y22" s="287">
        <v>1782360.365506615</v>
      </c>
      <c r="Z22" s="287">
        <v>2853262.4131641928</v>
      </c>
      <c r="AA22" s="287">
        <v>1685689.9692708747</v>
      </c>
      <c r="AB22" s="272"/>
      <c r="AC22" s="272"/>
    </row>
    <row r="23" spans="2:29">
      <c r="B23" s="269"/>
      <c r="AA23" s="272"/>
      <c r="AB23" s="272"/>
      <c r="AC23" s="272"/>
    </row>
    <row r="24" spans="2:29">
      <c r="C24" s="190"/>
      <c r="D24" s="4" t="s">
        <v>457</v>
      </c>
    </row>
  </sheetData>
  <mergeCells count="2">
    <mergeCell ref="A3:C3"/>
    <mergeCell ref="D5:A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1"/>
  <sheetViews>
    <sheetView view="pageBreakPreview" zoomScaleNormal="75" zoomScaleSheetLayoutView="50" workbookViewId="0">
      <pane xSplit="3" ySplit="11" topLeftCell="AH12" activePane="bottomRight" state="frozen"/>
      <selection activeCell="F16" sqref="F16"/>
      <selection pane="topRight" activeCell="F16" sqref="F16"/>
      <selection pane="bottomLeft" activeCell="F16" sqref="F16"/>
      <selection pane="bottomRight" activeCell="A2" sqref="A2"/>
    </sheetView>
  </sheetViews>
  <sheetFormatPr defaultRowHeight="12.75"/>
  <cols>
    <col min="1" max="1" width="12.5703125" style="90" bestFit="1" customWidth="1"/>
    <col min="2" max="2" width="9.140625" style="76"/>
    <col min="3" max="3" width="28.85546875" style="76" customWidth="1"/>
    <col min="4" max="4" width="8.85546875" style="76" customWidth="1"/>
    <col min="5" max="5" width="12.140625" style="76" customWidth="1"/>
    <col min="6" max="6" width="21.28515625" style="76" customWidth="1"/>
    <col min="7" max="9" width="12.140625" style="76" customWidth="1"/>
    <col min="10" max="10" width="12.28515625" style="76" customWidth="1"/>
    <col min="11" max="11" width="13.5703125" style="76" customWidth="1"/>
    <col min="12" max="13" width="12.140625" style="77" customWidth="1"/>
    <col min="14" max="14" width="21" style="77" customWidth="1"/>
    <col min="15" max="17" width="12.140625" style="77" customWidth="1"/>
    <col min="18" max="18" width="15.5703125" style="77" bestFit="1" customWidth="1"/>
    <col min="19" max="22" width="12.140625" style="77" customWidth="1"/>
    <col min="23" max="23" width="20.140625" style="77" customWidth="1"/>
    <col min="24" max="29" width="12.140625" style="77" customWidth="1"/>
    <col min="30" max="31" width="20" style="77" customWidth="1"/>
    <col min="32" max="32" width="4.28515625" style="77" customWidth="1"/>
    <col min="33" max="37" width="12.140625" style="77" customWidth="1"/>
    <col min="38" max="38" width="13.85546875" style="77" customWidth="1"/>
    <col min="39" max="39" width="14.85546875" style="77" customWidth="1"/>
    <col min="40" max="40" width="12.140625" style="77" customWidth="1"/>
    <col min="41" max="41" width="11.7109375" style="77" customWidth="1"/>
    <col min="42" max="42" width="4.28515625" style="77" customWidth="1"/>
    <col min="43" max="43" width="12.42578125" style="77" customWidth="1"/>
    <col min="44" max="44" width="17.5703125" style="77" customWidth="1"/>
    <col min="45" max="16384" width="9.140625" style="76"/>
  </cols>
  <sheetData>
    <row r="1" spans="1:44" ht="19.5" thickBot="1">
      <c r="A1" s="75" t="s">
        <v>141</v>
      </c>
      <c r="M1" s="335" t="s">
        <v>142</v>
      </c>
      <c r="N1" s="336"/>
      <c r="O1" s="336"/>
      <c r="P1" s="336"/>
      <c r="Q1" s="336"/>
      <c r="R1" s="337"/>
      <c r="AG1" s="335" t="s">
        <v>142</v>
      </c>
      <c r="AH1" s="338"/>
      <c r="AI1" s="338"/>
      <c r="AJ1" s="338"/>
      <c r="AK1" s="338"/>
      <c r="AL1" s="338"/>
      <c r="AM1" s="336"/>
      <c r="AN1" s="336"/>
      <c r="AO1" s="336"/>
      <c r="AP1" s="336"/>
      <c r="AQ1" s="336"/>
      <c r="AR1" s="337"/>
    </row>
    <row r="2" spans="1:44" ht="13.5" thickTop="1">
      <c r="A2" s="78">
        <v>40647</v>
      </c>
      <c r="M2" s="79"/>
      <c r="Q2" s="80" t="s">
        <v>2</v>
      </c>
      <c r="R2" s="81" t="s">
        <v>143</v>
      </c>
      <c r="AG2" s="79"/>
      <c r="AK2" s="80" t="s">
        <v>2</v>
      </c>
      <c r="AL2" s="82" t="s">
        <v>143</v>
      </c>
      <c r="AQ2" s="80" t="s">
        <v>2</v>
      </c>
      <c r="AR2" s="81" t="s">
        <v>143</v>
      </c>
    </row>
    <row r="3" spans="1:44">
      <c r="A3" s="83"/>
      <c r="M3" s="79" t="s">
        <v>144</v>
      </c>
      <c r="Q3" s="84">
        <f>U149</f>
        <v>8063.833999999998</v>
      </c>
      <c r="R3" s="85">
        <f>U150</f>
        <v>133</v>
      </c>
      <c r="AG3" s="86" t="s">
        <v>145</v>
      </c>
      <c r="AH3" s="87"/>
      <c r="AI3" s="87"/>
      <c r="AJ3" s="87"/>
      <c r="AK3" s="88">
        <f>AJ149</f>
        <v>6773.2604596804767</v>
      </c>
      <c r="AL3" s="89">
        <f>AJ150</f>
        <v>133</v>
      </c>
      <c r="AN3" s="77" t="s">
        <v>146</v>
      </c>
      <c r="AQ3" s="84">
        <f>AQ149</f>
        <v>45.994</v>
      </c>
      <c r="AR3" s="85">
        <v>4</v>
      </c>
    </row>
    <row r="4" spans="1:44">
      <c r="M4" s="79" t="s">
        <v>147</v>
      </c>
      <c r="Q4" s="84">
        <f>AC149</f>
        <v>8135.685999999997</v>
      </c>
      <c r="R4" s="85">
        <f>AC150</f>
        <v>133</v>
      </c>
      <c r="AG4" s="86" t="s">
        <v>148</v>
      </c>
      <c r="AH4" s="87"/>
      <c r="AI4" s="87"/>
      <c r="AJ4" s="87"/>
      <c r="AK4" s="88">
        <f>AK149</f>
        <v>7134.9999999999955</v>
      </c>
      <c r="AL4" s="89">
        <f>AK150</f>
        <v>133</v>
      </c>
      <c r="AN4" s="77" t="s">
        <v>149</v>
      </c>
      <c r="AQ4" s="84">
        <f>AQ147</f>
        <v>40.771999999999998</v>
      </c>
      <c r="AR4" s="85">
        <v>1</v>
      </c>
    </row>
    <row r="5" spans="1:44">
      <c r="M5" s="86" t="s">
        <v>150</v>
      </c>
      <c r="Q5" s="84">
        <f>AD149</f>
        <v>72.945000000000149</v>
      </c>
      <c r="R5" s="91">
        <f>AD150</f>
        <v>40</v>
      </c>
      <c r="AG5" s="86" t="s">
        <v>151</v>
      </c>
      <c r="AH5" s="87"/>
      <c r="AI5" s="87"/>
      <c r="AJ5" s="87"/>
      <c r="AK5" s="88">
        <f>AM149</f>
        <v>7301.1129999999966</v>
      </c>
      <c r="AL5" s="89">
        <f>AM150</f>
        <v>133</v>
      </c>
      <c r="AN5" s="77" t="s">
        <v>152</v>
      </c>
      <c r="AO5" s="92"/>
      <c r="AP5" s="92"/>
      <c r="AQ5" s="84">
        <f>AQ143+AQ127</f>
        <v>1.3049999999999995</v>
      </c>
      <c r="AR5" s="85">
        <v>2</v>
      </c>
    </row>
    <row r="6" spans="1:44" ht="13.5" thickBot="1">
      <c r="M6" s="93" t="s">
        <v>153</v>
      </c>
      <c r="N6" s="94"/>
      <c r="O6" s="94"/>
      <c r="P6" s="94"/>
      <c r="Q6" s="95">
        <f>AE149</f>
        <v>26.172000000000001</v>
      </c>
      <c r="R6" s="96">
        <f>AE150</f>
        <v>3</v>
      </c>
      <c r="AG6" s="97" t="s">
        <v>154</v>
      </c>
      <c r="AH6" s="87"/>
      <c r="AI6" s="87"/>
      <c r="AJ6" s="87"/>
      <c r="AK6" s="98">
        <v>7135</v>
      </c>
      <c r="AL6" s="89" t="s">
        <v>155</v>
      </c>
      <c r="AM6" s="99"/>
      <c r="AN6" s="77" t="s">
        <v>156</v>
      </c>
      <c r="AQ6" s="84">
        <f>AQ131</f>
        <v>3.916999999999998</v>
      </c>
      <c r="AR6" s="85">
        <v>1</v>
      </c>
    </row>
    <row r="7" spans="1:44" ht="13.5" thickBot="1">
      <c r="AG7" s="93" t="s">
        <v>157</v>
      </c>
      <c r="AH7" s="94"/>
      <c r="AI7" s="94"/>
      <c r="AJ7" s="94"/>
      <c r="AK7" s="95">
        <f>AO149</f>
        <v>80.61699999999999</v>
      </c>
      <c r="AL7" s="100">
        <f>AO150</f>
        <v>41</v>
      </c>
      <c r="AM7" s="94"/>
      <c r="AN7" s="101"/>
      <c r="AO7" s="101"/>
      <c r="AP7" s="101"/>
      <c r="AQ7" s="94"/>
      <c r="AR7" s="102"/>
    </row>
    <row r="8" spans="1:44" s="77" customFormat="1" ht="22.5" customHeight="1" thickBot="1">
      <c r="A8" s="90"/>
      <c r="B8" s="89" t="s">
        <v>158</v>
      </c>
      <c r="C8" s="89" t="s">
        <v>159</v>
      </c>
      <c r="D8" s="89" t="s">
        <v>160</v>
      </c>
      <c r="E8" s="89" t="s">
        <v>161</v>
      </c>
      <c r="F8" s="89" t="s">
        <v>162</v>
      </c>
      <c r="G8" s="89" t="s">
        <v>163</v>
      </c>
      <c r="H8" s="89" t="s">
        <v>164</v>
      </c>
      <c r="I8" s="89" t="s">
        <v>165</v>
      </c>
      <c r="J8" s="89" t="s">
        <v>166</v>
      </c>
      <c r="K8" s="89" t="s">
        <v>167</v>
      </c>
      <c r="L8" s="89" t="s">
        <v>168</v>
      </c>
      <c r="M8" s="89" t="s">
        <v>169</v>
      </c>
      <c r="N8" s="89" t="s">
        <v>170</v>
      </c>
      <c r="O8" s="89" t="s">
        <v>171</v>
      </c>
      <c r="P8" s="89" t="s">
        <v>172</v>
      </c>
      <c r="Q8" s="89" t="s">
        <v>173</v>
      </c>
      <c r="R8" s="89" t="s">
        <v>174</v>
      </c>
      <c r="S8" s="89" t="s">
        <v>175</v>
      </c>
      <c r="T8" s="89" t="s">
        <v>176</v>
      </c>
      <c r="U8" s="89" t="s">
        <v>177</v>
      </c>
      <c r="V8" s="89" t="s">
        <v>178</v>
      </c>
      <c r="W8" s="89" t="s">
        <v>179</v>
      </c>
      <c r="X8" s="89" t="s">
        <v>180</v>
      </c>
      <c r="Y8" s="89" t="s">
        <v>181</v>
      </c>
      <c r="Z8" s="89" t="s">
        <v>182</v>
      </c>
      <c r="AA8" s="89" t="s">
        <v>183</v>
      </c>
      <c r="AB8" s="89" t="s">
        <v>184</v>
      </c>
      <c r="AC8" s="89" t="s">
        <v>185</v>
      </c>
      <c r="AD8" s="89" t="s">
        <v>186</v>
      </c>
      <c r="AE8" s="89" t="s">
        <v>187</v>
      </c>
      <c r="AF8" s="89" t="s">
        <v>188</v>
      </c>
      <c r="AG8" s="89" t="s">
        <v>189</v>
      </c>
      <c r="AH8" s="89" t="s">
        <v>190</v>
      </c>
      <c r="AI8" s="89" t="s">
        <v>191</v>
      </c>
      <c r="AJ8" s="89" t="s">
        <v>192</v>
      </c>
      <c r="AK8" s="89" t="s">
        <v>193</v>
      </c>
      <c r="AL8" s="89" t="s">
        <v>194</v>
      </c>
      <c r="AM8" s="89" t="s">
        <v>195</v>
      </c>
      <c r="AN8" s="89" t="s">
        <v>196</v>
      </c>
      <c r="AO8" s="89" t="s">
        <v>197</v>
      </c>
      <c r="AP8" s="89" t="s">
        <v>198</v>
      </c>
      <c r="AQ8" s="89" t="s">
        <v>199</v>
      </c>
      <c r="AR8" s="89" t="s">
        <v>200</v>
      </c>
    </row>
    <row r="9" spans="1:44" ht="30.75" customHeight="1" thickBot="1">
      <c r="A9" s="103" t="s">
        <v>59</v>
      </c>
      <c r="B9" s="104"/>
      <c r="C9" s="104"/>
      <c r="D9" s="104"/>
      <c r="E9" s="339" t="s">
        <v>201</v>
      </c>
      <c r="F9" s="340"/>
      <c r="G9" s="340"/>
      <c r="H9" s="340"/>
      <c r="I9" s="340"/>
      <c r="J9" s="340"/>
      <c r="K9" s="340"/>
      <c r="L9" s="341"/>
      <c r="M9" s="339" t="s">
        <v>202</v>
      </c>
      <c r="N9" s="340"/>
      <c r="O9" s="340"/>
      <c r="P9" s="340"/>
      <c r="Q9" s="340"/>
      <c r="R9" s="340"/>
      <c r="S9" s="340"/>
      <c r="T9" s="341"/>
      <c r="U9" s="105" t="s">
        <v>203</v>
      </c>
      <c r="V9" s="339" t="s">
        <v>204</v>
      </c>
      <c r="W9" s="342"/>
      <c r="X9" s="342"/>
      <c r="Y9" s="342"/>
      <c r="Z9" s="342"/>
      <c r="AA9" s="342"/>
      <c r="AB9" s="343"/>
      <c r="AC9" s="344"/>
      <c r="AD9" s="106" t="s">
        <v>205</v>
      </c>
      <c r="AE9" s="106" t="s">
        <v>206</v>
      </c>
      <c r="AF9" s="107"/>
      <c r="AG9" s="345" t="s">
        <v>207</v>
      </c>
      <c r="AH9" s="343"/>
      <c r="AI9" s="343"/>
      <c r="AJ9" s="343"/>
      <c r="AK9" s="343"/>
      <c r="AL9" s="343"/>
      <c r="AM9" s="343"/>
      <c r="AN9" s="343"/>
      <c r="AO9" s="344"/>
      <c r="AP9" s="108"/>
      <c r="AQ9" s="339" t="s">
        <v>208</v>
      </c>
      <c r="AR9" s="344"/>
    </row>
    <row r="10" spans="1:44" ht="51">
      <c r="A10" s="103" t="s">
        <v>60</v>
      </c>
      <c r="B10" s="109" t="s">
        <v>0</v>
      </c>
      <c r="C10" s="109" t="s">
        <v>209</v>
      </c>
      <c r="D10" s="110" t="s">
        <v>1</v>
      </c>
      <c r="E10" s="111" t="s">
        <v>210</v>
      </c>
      <c r="F10" s="112" t="s">
        <v>211</v>
      </c>
      <c r="G10" s="112" t="s">
        <v>212</v>
      </c>
      <c r="H10" s="112" t="s">
        <v>213</v>
      </c>
      <c r="I10" s="112" t="s">
        <v>214</v>
      </c>
      <c r="J10" s="112" t="s">
        <v>215</v>
      </c>
      <c r="K10" s="112" t="s">
        <v>216</v>
      </c>
      <c r="L10" s="113" t="s">
        <v>217</v>
      </c>
      <c r="M10" s="111" t="s">
        <v>210</v>
      </c>
      <c r="N10" s="112" t="s">
        <v>211</v>
      </c>
      <c r="O10" s="112" t="s">
        <v>212</v>
      </c>
      <c r="P10" s="112" t="s">
        <v>213</v>
      </c>
      <c r="Q10" s="112" t="s">
        <v>214</v>
      </c>
      <c r="R10" s="112" t="s">
        <v>215</v>
      </c>
      <c r="S10" s="112" t="s">
        <v>218</v>
      </c>
      <c r="T10" s="113" t="s">
        <v>219</v>
      </c>
      <c r="U10" s="114" t="s">
        <v>220</v>
      </c>
      <c r="V10" s="111" t="s">
        <v>210</v>
      </c>
      <c r="W10" s="112" t="s">
        <v>211</v>
      </c>
      <c r="X10" s="112" t="s">
        <v>212</v>
      </c>
      <c r="Y10" s="112" t="s">
        <v>213</v>
      </c>
      <c r="Z10" s="112" t="s">
        <v>214</v>
      </c>
      <c r="AA10" s="112" t="s">
        <v>215</v>
      </c>
      <c r="AB10" s="112" t="s">
        <v>221</v>
      </c>
      <c r="AC10" s="113" t="s">
        <v>222</v>
      </c>
      <c r="AD10" s="115" t="s">
        <v>223</v>
      </c>
      <c r="AE10" s="115" t="s">
        <v>224</v>
      </c>
      <c r="AF10" s="116"/>
      <c r="AG10" s="117" t="s">
        <v>225</v>
      </c>
      <c r="AH10" s="118" t="s">
        <v>226</v>
      </c>
      <c r="AI10" s="118" t="s">
        <v>227</v>
      </c>
      <c r="AJ10" s="118" t="s">
        <v>228</v>
      </c>
      <c r="AK10" s="118" t="s">
        <v>229</v>
      </c>
      <c r="AL10" s="118" t="s">
        <v>230</v>
      </c>
      <c r="AM10" s="118" t="s">
        <v>231</v>
      </c>
      <c r="AN10" s="118" t="s">
        <v>232</v>
      </c>
      <c r="AO10" s="119" t="s">
        <v>233</v>
      </c>
      <c r="AP10" s="108"/>
      <c r="AQ10" s="111" t="s">
        <v>234</v>
      </c>
      <c r="AR10" s="113" t="s">
        <v>235</v>
      </c>
    </row>
    <row r="11" spans="1:44" s="128" customFormat="1" ht="13.5" thickBot="1">
      <c r="A11" s="103" t="s">
        <v>61</v>
      </c>
      <c r="B11" s="120"/>
      <c r="C11" s="121"/>
      <c r="D11" s="122"/>
      <c r="E11" s="123" t="s">
        <v>2</v>
      </c>
      <c r="F11" s="124" t="s">
        <v>2</v>
      </c>
      <c r="G11" s="124" t="s">
        <v>2</v>
      </c>
      <c r="H11" s="124" t="s">
        <v>2</v>
      </c>
      <c r="I11" s="124" t="s">
        <v>2</v>
      </c>
      <c r="J11" s="124" t="s">
        <v>2</v>
      </c>
      <c r="K11" s="124" t="s">
        <v>2</v>
      </c>
      <c r="L11" s="125" t="s">
        <v>2</v>
      </c>
      <c r="M11" s="123" t="s">
        <v>2</v>
      </c>
      <c r="N11" s="124" t="s">
        <v>2</v>
      </c>
      <c r="O11" s="124" t="s">
        <v>2</v>
      </c>
      <c r="P11" s="124" t="s">
        <v>2</v>
      </c>
      <c r="Q11" s="124" t="s">
        <v>2</v>
      </c>
      <c r="R11" s="124" t="s">
        <v>2</v>
      </c>
      <c r="S11" s="124" t="s">
        <v>2</v>
      </c>
      <c r="T11" s="125" t="s">
        <v>2</v>
      </c>
      <c r="U11" s="126" t="s">
        <v>2</v>
      </c>
      <c r="V11" s="123" t="s">
        <v>2</v>
      </c>
      <c r="W11" s="124" t="s">
        <v>2</v>
      </c>
      <c r="X11" s="124" t="s">
        <v>2</v>
      </c>
      <c r="Y11" s="124" t="s">
        <v>2</v>
      </c>
      <c r="Z11" s="124" t="s">
        <v>2</v>
      </c>
      <c r="AA11" s="124" t="s">
        <v>2</v>
      </c>
      <c r="AB11" s="124" t="s">
        <v>2</v>
      </c>
      <c r="AC11" s="125" t="s">
        <v>2</v>
      </c>
      <c r="AD11" s="126" t="s">
        <v>2</v>
      </c>
      <c r="AE11" s="126" t="s">
        <v>2</v>
      </c>
      <c r="AF11" s="122"/>
      <c r="AG11" s="123" t="s">
        <v>2</v>
      </c>
      <c r="AH11" s="124" t="s">
        <v>2</v>
      </c>
      <c r="AI11" s="124" t="s">
        <v>2</v>
      </c>
      <c r="AJ11" s="124" t="s">
        <v>2</v>
      </c>
      <c r="AK11" s="124" t="s">
        <v>2</v>
      </c>
      <c r="AL11" s="124" t="s">
        <v>2</v>
      </c>
      <c r="AM11" s="124" t="s">
        <v>2</v>
      </c>
      <c r="AN11" s="124" t="s">
        <v>2</v>
      </c>
      <c r="AO11" s="125" t="s">
        <v>2</v>
      </c>
      <c r="AP11" s="127"/>
      <c r="AQ11" s="123" t="s">
        <v>2</v>
      </c>
      <c r="AR11" s="125" t="s">
        <v>2</v>
      </c>
    </row>
    <row r="12" spans="1:44">
      <c r="A12" s="129" t="s">
        <v>62</v>
      </c>
      <c r="B12" s="130">
        <v>10055</v>
      </c>
      <c r="C12" s="131" t="s">
        <v>236</v>
      </c>
      <c r="D12" s="132">
        <v>102</v>
      </c>
      <c r="E12" s="133">
        <v>0.377</v>
      </c>
      <c r="F12" s="134">
        <v>0</v>
      </c>
      <c r="G12" s="134">
        <v>-1E-3</v>
      </c>
      <c r="H12" s="134">
        <v>0</v>
      </c>
      <c r="I12" s="134">
        <v>0</v>
      </c>
      <c r="J12" s="134">
        <f t="shared" ref="J12:J75" si="0">SUM(E12:I12)</f>
        <v>0.376</v>
      </c>
      <c r="K12" s="134">
        <v>0</v>
      </c>
      <c r="L12" s="135">
        <f t="shared" ref="L12:L75" si="1">ROUND(J12+K12, 3)</f>
        <v>0.376</v>
      </c>
      <c r="M12" s="133">
        <v>0.40699999999999997</v>
      </c>
      <c r="N12" s="134">
        <v>0</v>
      </c>
      <c r="O12" s="134">
        <v>-1.2E-2</v>
      </c>
      <c r="P12" s="134">
        <v>0</v>
      </c>
      <c r="Q12" s="134">
        <v>0</v>
      </c>
      <c r="R12" s="134">
        <f t="shared" ref="R12:R75" si="2">SUM(M12:Q12)</f>
        <v>0.39499999999999996</v>
      </c>
      <c r="S12" s="134">
        <v>0</v>
      </c>
      <c r="T12" s="135">
        <f t="shared" ref="T12:T75" si="3">ROUND(R12+S12, 3)</f>
        <v>0.39500000000000002</v>
      </c>
      <c r="U12" s="136">
        <f t="shared" ref="U12:U75" si="4">ROUND(+(L12+T12)/2, 3)</f>
        <v>0.38600000000000001</v>
      </c>
      <c r="V12" s="133">
        <v>0.39900000000000002</v>
      </c>
      <c r="W12" s="134">
        <v>0</v>
      </c>
      <c r="X12" s="134">
        <v>-8.0000000000000002E-3</v>
      </c>
      <c r="Y12" s="134">
        <v>0</v>
      </c>
      <c r="Z12" s="134">
        <v>0</v>
      </c>
      <c r="AA12" s="134">
        <f t="shared" ref="AA12:AA75" si="5">SUM(V12:Z12)</f>
        <v>0.39100000000000001</v>
      </c>
      <c r="AB12" s="134">
        <v>2E-3</v>
      </c>
      <c r="AC12" s="135">
        <f t="shared" ref="AC12:AC75" si="6">ROUND(AA12+AB12, 3)</f>
        <v>0.39300000000000002</v>
      </c>
      <c r="AD12" s="136">
        <f t="shared" ref="AD12:AD75" si="7">IF(U12-AC12&gt;0, U12-AC12, 0)</f>
        <v>0</v>
      </c>
      <c r="AE12" s="136">
        <v>0</v>
      </c>
      <c r="AF12" s="137"/>
      <c r="AG12" s="133">
        <f t="shared" ref="AG12:AG75" si="8">AA12</f>
        <v>0.39100000000000001</v>
      </c>
      <c r="AH12" s="134">
        <f t="shared" ref="AH12:AH57" si="9">IF(AD12&gt;AE12, AD12, AE12)</f>
        <v>0</v>
      </c>
      <c r="AI12" s="134">
        <v>0</v>
      </c>
      <c r="AJ12" s="134">
        <f t="shared" ref="AJ12:AJ75" si="10">SUM(AG12:AI12)</f>
        <v>0.39100000000000001</v>
      </c>
      <c r="AK12" s="134">
        <f t="shared" ref="AK12:AK75" si="11">AJ12*($AK$6/$AK$3)</f>
        <v>0.41188213809389013</v>
      </c>
      <c r="AL12" s="134">
        <f t="shared" ref="AL12:AL75" si="12">AB12</f>
        <v>2E-3</v>
      </c>
      <c r="AM12" s="134">
        <f t="shared" ref="AM12:AM75" si="13">AK12+AL12</f>
        <v>0.41388213809389013</v>
      </c>
      <c r="AN12" s="134">
        <f t="shared" ref="AN12:AN75" si="14">ROUND(AM12*($AK$4/$AK$5), 3)</f>
        <v>0.40400000000000003</v>
      </c>
      <c r="AO12" s="135">
        <f t="shared" ref="AO12:AO75" si="15">ROUND(IF(AH12&gt;0, AN12*(AH12/AJ12), 0), 3)</f>
        <v>0</v>
      </c>
      <c r="AP12" s="138"/>
      <c r="AQ12" s="133">
        <v>0</v>
      </c>
      <c r="AR12" s="135">
        <f t="shared" ref="AR12:AR75" si="16">AN12+AQ12</f>
        <v>0.40400000000000003</v>
      </c>
    </row>
    <row r="13" spans="1:44">
      <c r="A13" s="139" t="s">
        <v>63</v>
      </c>
      <c r="B13" s="140">
        <v>10005</v>
      </c>
      <c r="C13" s="141" t="s">
        <v>237</v>
      </c>
      <c r="D13" s="142">
        <v>301</v>
      </c>
      <c r="E13" s="143">
        <v>0.48099999999999998</v>
      </c>
      <c r="F13" s="144">
        <v>0</v>
      </c>
      <c r="G13" s="144">
        <v>-8.0000000000000002E-3</v>
      </c>
      <c r="H13" s="144">
        <v>0</v>
      </c>
      <c r="I13" s="144">
        <v>0</v>
      </c>
      <c r="J13" s="144">
        <f t="shared" si="0"/>
        <v>0.47299999999999998</v>
      </c>
      <c r="K13" s="144">
        <v>0</v>
      </c>
      <c r="L13" s="145">
        <f t="shared" si="1"/>
        <v>0.47299999999999998</v>
      </c>
      <c r="M13" s="143">
        <v>0.54</v>
      </c>
      <c r="N13" s="144">
        <v>0</v>
      </c>
      <c r="O13" s="144">
        <v>-0.02</v>
      </c>
      <c r="P13" s="144">
        <v>0</v>
      </c>
      <c r="Q13" s="144">
        <v>0</v>
      </c>
      <c r="R13" s="144">
        <f t="shared" si="2"/>
        <v>0.52</v>
      </c>
      <c r="S13" s="144">
        <v>0</v>
      </c>
      <c r="T13" s="145">
        <f t="shared" si="3"/>
        <v>0.52</v>
      </c>
      <c r="U13" s="146">
        <f t="shared" si="4"/>
        <v>0.497</v>
      </c>
      <c r="V13" s="143">
        <v>0.53500000000000003</v>
      </c>
      <c r="W13" s="144">
        <v>0</v>
      </c>
      <c r="X13" s="144">
        <v>5.0000000000000001E-3</v>
      </c>
      <c r="Y13" s="144">
        <v>0</v>
      </c>
      <c r="Z13" s="144">
        <v>0</v>
      </c>
      <c r="AA13" s="144">
        <f t="shared" si="5"/>
        <v>0.54</v>
      </c>
      <c r="AB13" s="144">
        <v>0</v>
      </c>
      <c r="AC13" s="145">
        <f t="shared" si="6"/>
        <v>0.54</v>
      </c>
      <c r="AD13" s="146">
        <f t="shared" si="7"/>
        <v>0</v>
      </c>
      <c r="AE13" s="146">
        <v>0</v>
      </c>
      <c r="AF13" s="147"/>
      <c r="AG13" s="143">
        <f t="shared" si="8"/>
        <v>0.54</v>
      </c>
      <c r="AH13" s="144">
        <f t="shared" si="9"/>
        <v>0</v>
      </c>
      <c r="AI13" s="144">
        <v>0</v>
      </c>
      <c r="AJ13" s="144">
        <f t="shared" si="10"/>
        <v>0.54</v>
      </c>
      <c r="AK13" s="144">
        <f t="shared" si="11"/>
        <v>0.56883978151074344</v>
      </c>
      <c r="AL13" s="144">
        <f t="shared" si="12"/>
        <v>0</v>
      </c>
      <c r="AM13" s="144">
        <f t="shared" si="13"/>
        <v>0.56883978151074344</v>
      </c>
      <c r="AN13" s="144">
        <f t="shared" si="14"/>
        <v>0.55600000000000005</v>
      </c>
      <c r="AO13" s="145">
        <f t="shared" si="15"/>
        <v>0</v>
      </c>
      <c r="AP13" s="148"/>
      <c r="AQ13" s="143">
        <v>0</v>
      </c>
      <c r="AR13" s="145">
        <f t="shared" si="16"/>
        <v>0.55600000000000005</v>
      </c>
    </row>
    <row r="14" spans="1:44">
      <c r="A14" s="129" t="s">
        <v>64</v>
      </c>
      <c r="B14" s="130">
        <v>10057</v>
      </c>
      <c r="C14" s="131" t="s">
        <v>3</v>
      </c>
      <c r="D14" s="132">
        <v>103</v>
      </c>
      <c r="E14" s="149">
        <v>20.745999999999999</v>
      </c>
      <c r="F14" s="150">
        <v>0</v>
      </c>
      <c r="G14" s="150">
        <v>-7.0000000000000007E-2</v>
      </c>
      <c r="H14" s="150">
        <v>0</v>
      </c>
      <c r="I14" s="150">
        <v>0</v>
      </c>
      <c r="J14" s="150">
        <f t="shared" si="0"/>
        <v>20.675999999999998</v>
      </c>
      <c r="K14" s="150">
        <v>4.2999999999999997E-2</v>
      </c>
      <c r="L14" s="151">
        <f t="shared" si="1"/>
        <v>20.719000000000001</v>
      </c>
      <c r="M14" s="149">
        <v>21.202000000000002</v>
      </c>
      <c r="N14" s="150">
        <v>0</v>
      </c>
      <c r="O14" s="150">
        <v>-0.42799999999999999</v>
      </c>
      <c r="P14" s="150">
        <v>0</v>
      </c>
      <c r="Q14" s="150">
        <v>0</v>
      </c>
      <c r="R14" s="150">
        <f t="shared" si="2"/>
        <v>20.774000000000001</v>
      </c>
      <c r="S14" s="150">
        <v>0.09</v>
      </c>
      <c r="T14" s="151">
        <f t="shared" si="3"/>
        <v>20.864000000000001</v>
      </c>
      <c r="U14" s="152">
        <f t="shared" si="4"/>
        <v>20.792000000000002</v>
      </c>
      <c r="V14" s="149">
        <v>19.734000000000002</v>
      </c>
      <c r="W14" s="150">
        <v>0</v>
      </c>
      <c r="X14" s="150">
        <v>-7.1999999999999995E-2</v>
      </c>
      <c r="Y14" s="150">
        <v>0</v>
      </c>
      <c r="Z14" s="150">
        <v>0</v>
      </c>
      <c r="AA14" s="150">
        <f t="shared" si="5"/>
        <v>19.662000000000003</v>
      </c>
      <c r="AB14" s="150">
        <v>0.39700000000000002</v>
      </c>
      <c r="AC14" s="151">
        <f t="shared" si="6"/>
        <v>20.059000000000001</v>
      </c>
      <c r="AD14" s="152">
        <f t="shared" si="7"/>
        <v>0.73300000000000054</v>
      </c>
      <c r="AE14" s="152">
        <v>0</v>
      </c>
      <c r="AF14" s="137"/>
      <c r="AG14" s="149">
        <f t="shared" si="8"/>
        <v>19.662000000000003</v>
      </c>
      <c r="AH14" s="150">
        <f t="shared" si="9"/>
        <v>0.73300000000000054</v>
      </c>
      <c r="AI14" s="150">
        <v>0</v>
      </c>
      <c r="AJ14" s="150">
        <f t="shared" si="10"/>
        <v>20.395000000000003</v>
      </c>
      <c r="AK14" s="150">
        <f t="shared" si="11"/>
        <v>21.484235822058544</v>
      </c>
      <c r="AL14" s="150">
        <f t="shared" si="12"/>
        <v>0.39700000000000002</v>
      </c>
      <c r="AM14" s="150">
        <f t="shared" si="13"/>
        <v>21.881235822058542</v>
      </c>
      <c r="AN14" s="150">
        <f t="shared" si="14"/>
        <v>21.382999999999999</v>
      </c>
      <c r="AO14" s="151">
        <f t="shared" si="15"/>
        <v>0.76900000000000002</v>
      </c>
      <c r="AP14" s="138"/>
      <c r="AQ14" s="149">
        <v>0</v>
      </c>
      <c r="AR14" s="151">
        <f t="shared" si="16"/>
        <v>21.382999999999999</v>
      </c>
    </row>
    <row r="15" spans="1:44">
      <c r="A15" s="139" t="s">
        <v>65</v>
      </c>
      <c r="B15" s="140">
        <v>10015</v>
      </c>
      <c r="C15" s="141" t="s">
        <v>4</v>
      </c>
      <c r="D15" s="142">
        <v>201</v>
      </c>
      <c r="E15" s="143">
        <v>0.63200000000000001</v>
      </c>
      <c r="F15" s="144">
        <v>0</v>
      </c>
      <c r="G15" s="144">
        <v>-2.5000000000000001E-2</v>
      </c>
      <c r="H15" s="144">
        <v>0</v>
      </c>
      <c r="I15" s="144">
        <v>0</v>
      </c>
      <c r="J15" s="144">
        <f t="shared" si="0"/>
        <v>0.60699999999999998</v>
      </c>
      <c r="K15" s="144">
        <v>0</v>
      </c>
      <c r="L15" s="145">
        <f t="shared" si="1"/>
        <v>0.60699999999999998</v>
      </c>
      <c r="M15" s="143">
        <v>0.58799999999999997</v>
      </c>
      <c r="N15" s="144">
        <v>0</v>
      </c>
      <c r="O15" s="144">
        <v>-8.9999999999999993E-3</v>
      </c>
      <c r="P15" s="144">
        <v>0</v>
      </c>
      <c r="Q15" s="144">
        <v>0</v>
      </c>
      <c r="R15" s="144">
        <f t="shared" si="2"/>
        <v>0.57899999999999996</v>
      </c>
      <c r="S15" s="144">
        <v>0</v>
      </c>
      <c r="T15" s="145">
        <f t="shared" si="3"/>
        <v>0.57899999999999996</v>
      </c>
      <c r="U15" s="146">
        <f t="shared" si="4"/>
        <v>0.59299999999999997</v>
      </c>
      <c r="V15" s="143">
        <v>0.54400000000000004</v>
      </c>
      <c r="W15" s="144">
        <v>0</v>
      </c>
      <c r="X15" s="144">
        <v>1.2E-2</v>
      </c>
      <c r="Y15" s="144">
        <v>0</v>
      </c>
      <c r="Z15" s="144">
        <v>0</v>
      </c>
      <c r="AA15" s="144">
        <f t="shared" si="5"/>
        <v>0.55600000000000005</v>
      </c>
      <c r="AB15" s="144">
        <v>0.01</v>
      </c>
      <c r="AC15" s="145">
        <f t="shared" si="6"/>
        <v>0.56599999999999995</v>
      </c>
      <c r="AD15" s="146">
        <f t="shared" si="7"/>
        <v>2.7000000000000024E-2</v>
      </c>
      <c r="AE15" s="146">
        <v>0</v>
      </c>
      <c r="AF15" s="147"/>
      <c r="AG15" s="143">
        <f t="shared" si="8"/>
        <v>0.55600000000000005</v>
      </c>
      <c r="AH15" s="144">
        <f t="shared" si="9"/>
        <v>2.7000000000000024E-2</v>
      </c>
      <c r="AI15" s="144">
        <v>0</v>
      </c>
      <c r="AJ15" s="144">
        <f t="shared" si="10"/>
        <v>0.58300000000000007</v>
      </c>
      <c r="AK15" s="144">
        <f t="shared" si="11"/>
        <v>0.61413628263104336</v>
      </c>
      <c r="AL15" s="144">
        <f t="shared" si="12"/>
        <v>0.01</v>
      </c>
      <c r="AM15" s="144">
        <f t="shared" si="13"/>
        <v>0.62413628263104337</v>
      </c>
      <c r="AN15" s="144">
        <f t="shared" si="14"/>
        <v>0.61</v>
      </c>
      <c r="AO15" s="145">
        <f t="shared" si="15"/>
        <v>2.8000000000000001E-2</v>
      </c>
      <c r="AP15" s="148"/>
      <c r="AQ15" s="143">
        <v>0</v>
      </c>
      <c r="AR15" s="145">
        <f t="shared" si="16"/>
        <v>0.61</v>
      </c>
    </row>
    <row r="16" spans="1:44">
      <c r="A16" s="129" t="s">
        <v>66</v>
      </c>
      <c r="B16" s="130">
        <v>10059</v>
      </c>
      <c r="C16" s="131" t="s">
        <v>238</v>
      </c>
      <c r="D16" s="132">
        <v>104</v>
      </c>
      <c r="E16" s="149">
        <v>7.6120000000000001</v>
      </c>
      <c r="F16" s="150">
        <v>0</v>
      </c>
      <c r="G16" s="150">
        <v>-0.249</v>
      </c>
      <c r="H16" s="150">
        <v>0</v>
      </c>
      <c r="I16" s="150">
        <v>0</v>
      </c>
      <c r="J16" s="150">
        <f t="shared" si="0"/>
        <v>7.3630000000000004</v>
      </c>
      <c r="K16" s="150">
        <v>3.0000000000000001E-3</v>
      </c>
      <c r="L16" s="151">
        <f t="shared" si="1"/>
        <v>7.3659999999999997</v>
      </c>
      <c r="M16" s="149">
        <v>8.1780000000000008</v>
      </c>
      <c r="N16" s="150">
        <v>0</v>
      </c>
      <c r="O16" s="150">
        <v>-0.50600000000000001</v>
      </c>
      <c r="P16" s="150">
        <v>0</v>
      </c>
      <c r="Q16" s="150">
        <v>0</v>
      </c>
      <c r="R16" s="150">
        <f t="shared" si="2"/>
        <v>7.6720000000000006</v>
      </c>
      <c r="S16" s="150">
        <v>3.3000000000000002E-2</v>
      </c>
      <c r="T16" s="151">
        <f t="shared" si="3"/>
        <v>7.7050000000000001</v>
      </c>
      <c r="U16" s="152">
        <f t="shared" si="4"/>
        <v>7.5359999999999996</v>
      </c>
      <c r="V16" s="149">
        <v>7.5209999999999999</v>
      </c>
      <c r="W16" s="150">
        <v>0</v>
      </c>
      <c r="X16" s="150">
        <v>-0.17399999999999999</v>
      </c>
      <c r="Y16" s="150">
        <v>0</v>
      </c>
      <c r="Z16" s="150">
        <v>0</v>
      </c>
      <c r="AA16" s="150">
        <f t="shared" si="5"/>
        <v>7.3469999999999995</v>
      </c>
      <c r="AB16" s="150">
        <v>0.19400000000000001</v>
      </c>
      <c r="AC16" s="151">
        <f t="shared" si="6"/>
        <v>7.5410000000000004</v>
      </c>
      <c r="AD16" s="152">
        <f t="shared" si="7"/>
        <v>0</v>
      </c>
      <c r="AE16" s="152">
        <v>0</v>
      </c>
      <c r="AF16" s="137"/>
      <c r="AG16" s="149">
        <f t="shared" si="8"/>
        <v>7.3469999999999995</v>
      </c>
      <c r="AH16" s="150">
        <f t="shared" si="9"/>
        <v>0</v>
      </c>
      <c r="AI16" s="150">
        <v>0</v>
      </c>
      <c r="AJ16" s="150">
        <f t="shared" si="10"/>
        <v>7.3469999999999995</v>
      </c>
      <c r="AK16" s="150">
        <f t="shared" si="11"/>
        <v>7.7393812495545031</v>
      </c>
      <c r="AL16" s="150">
        <f t="shared" si="12"/>
        <v>0.19400000000000001</v>
      </c>
      <c r="AM16" s="150">
        <f t="shared" si="13"/>
        <v>7.9333812495545031</v>
      </c>
      <c r="AN16" s="150">
        <f t="shared" si="14"/>
        <v>7.7530000000000001</v>
      </c>
      <c r="AO16" s="151">
        <f t="shared" si="15"/>
        <v>0</v>
      </c>
      <c r="AP16" s="138"/>
      <c r="AQ16" s="149">
        <v>0</v>
      </c>
      <c r="AR16" s="151">
        <f t="shared" si="16"/>
        <v>7.7530000000000001</v>
      </c>
    </row>
    <row r="17" spans="1:44">
      <c r="A17" s="139" t="s">
        <v>67</v>
      </c>
      <c r="B17" s="140">
        <v>10024</v>
      </c>
      <c r="C17" s="141" t="s">
        <v>5</v>
      </c>
      <c r="D17" s="142">
        <v>203</v>
      </c>
      <c r="E17" s="143">
        <v>190.63900000000001</v>
      </c>
      <c r="F17" s="144">
        <v>0</v>
      </c>
      <c r="G17" s="144">
        <v>-1.4359999999999999</v>
      </c>
      <c r="H17" s="144">
        <v>-47.576999999999998</v>
      </c>
      <c r="I17" s="144">
        <v>47.29</v>
      </c>
      <c r="J17" s="144">
        <f t="shared" si="0"/>
        <v>188.916</v>
      </c>
      <c r="K17" s="144">
        <v>0.313</v>
      </c>
      <c r="L17" s="145">
        <f t="shared" si="1"/>
        <v>189.22900000000001</v>
      </c>
      <c r="M17" s="143">
        <v>191.77500000000001</v>
      </c>
      <c r="N17" s="144">
        <v>0</v>
      </c>
      <c r="O17" s="144">
        <v>-0.81299999999999994</v>
      </c>
      <c r="P17" s="144">
        <v>-47.143999999999998</v>
      </c>
      <c r="Q17" s="144">
        <v>47.613</v>
      </c>
      <c r="R17" s="144">
        <f t="shared" si="2"/>
        <v>191.43100000000001</v>
      </c>
      <c r="S17" s="144">
        <v>0.84499999999999997</v>
      </c>
      <c r="T17" s="145">
        <f t="shared" si="3"/>
        <v>192.27600000000001</v>
      </c>
      <c r="U17" s="146">
        <f t="shared" si="4"/>
        <v>190.75299999999999</v>
      </c>
      <c r="V17" s="143">
        <v>190.136</v>
      </c>
      <c r="W17" s="144">
        <v>0</v>
      </c>
      <c r="X17" s="144">
        <v>0.68400000000000005</v>
      </c>
      <c r="Y17" s="144">
        <v>-43.981540319524022</v>
      </c>
      <c r="Z17" s="144">
        <v>47.639000000000003</v>
      </c>
      <c r="AA17" s="144">
        <f t="shared" si="5"/>
        <v>194.47745968047599</v>
      </c>
      <c r="AB17" s="144">
        <v>5.5110000000000001</v>
      </c>
      <c r="AC17" s="145">
        <f t="shared" si="6"/>
        <v>199.988</v>
      </c>
      <c r="AD17" s="146">
        <f t="shared" si="7"/>
        <v>0</v>
      </c>
      <c r="AE17" s="146">
        <v>0</v>
      </c>
      <c r="AF17" s="147"/>
      <c r="AG17" s="143">
        <f t="shared" si="8"/>
        <v>194.47745968047599</v>
      </c>
      <c r="AH17" s="144">
        <f t="shared" si="9"/>
        <v>0</v>
      </c>
      <c r="AI17" s="144">
        <v>-0.91900000000000004</v>
      </c>
      <c r="AJ17" s="144">
        <f t="shared" si="10"/>
        <v>193.55845968047598</v>
      </c>
      <c r="AK17" s="144">
        <f t="shared" si="11"/>
        <v>203.89583687814442</v>
      </c>
      <c r="AL17" s="144">
        <f t="shared" si="12"/>
        <v>5.5110000000000001</v>
      </c>
      <c r="AM17" s="144">
        <f t="shared" si="13"/>
        <v>209.40683687814442</v>
      </c>
      <c r="AN17" s="144">
        <f t="shared" si="14"/>
        <v>204.642</v>
      </c>
      <c r="AO17" s="145">
        <f t="shared" si="15"/>
        <v>0</v>
      </c>
      <c r="AP17" s="148"/>
      <c r="AQ17" s="143">
        <v>0</v>
      </c>
      <c r="AR17" s="145">
        <f t="shared" si="16"/>
        <v>204.642</v>
      </c>
    </row>
    <row r="18" spans="1:44">
      <c r="A18" s="129" t="s">
        <v>68</v>
      </c>
      <c r="B18" s="130">
        <v>10025</v>
      </c>
      <c r="C18" s="131" t="s">
        <v>239</v>
      </c>
      <c r="D18" s="132">
        <v>303</v>
      </c>
      <c r="E18" s="149">
        <v>62.822000000000003</v>
      </c>
      <c r="F18" s="150">
        <v>0</v>
      </c>
      <c r="G18" s="150">
        <v>-0.48099999999999998</v>
      </c>
      <c r="H18" s="150">
        <v>-13.542999999999999</v>
      </c>
      <c r="I18" s="150">
        <v>14.265000000000001</v>
      </c>
      <c r="J18" s="150">
        <f t="shared" si="0"/>
        <v>63.063000000000002</v>
      </c>
      <c r="K18" s="150">
        <v>3.7999999999999999E-2</v>
      </c>
      <c r="L18" s="151">
        <f t="shared" si="1"/>
        <v>63.100999999999999</v>
      </c>
      <c r="M18" s="149">
        <v>63.639000000000003</v>
      </c>
      <c r="N18" s="150">
        <v>0</v>
      </c>
      <c r="O18" s="150">
        <v>0.108</v>
      </c>
      <c r="P18" s="150">
        <v>-14.631</v>
      </c>
      <c r="Q18" s="150">
        <v>14.44</v>
      </c>
      <c r="R18" s="150">
        <f t="shared" si="2"/>
        <v>63.555999999999997</v>
      </c>
      <c r="S18" s="150">
        <v>0.44800000000000001</v>
      </c>
      <c r="T18" s="151">
        <f t="shared" si="3"/>
        <v>64.004000000000005</v>
      </c>
      <c r="U18" s="152">
        <f t="shared" si="4"/>
        <v>63.552999999999997</v>
      </c>
      <c r="V18" s="149">
        <v>64.683999999999997</v>
      </c>
      <c r="W18" s="150">
        <v>0</v>
      </c>
      <c r="X18" s="150">
        <v>0.48199999999999998</v>
      </c>
      <c r="Y18" s="150">
        <v>-15.465999999999999</v>
      </c>
      <c r="Z18" s="150">
        <v>15.090999999999999</v>
      </c>
      <c r="AA18" s="150">
        <f t="shared" si="5"/>
        <v>64.790999999999997</v>
      </c>
      <c r="AB18" s="150">
        <v>1.2869999999999999</v>
      </c>
      <c r="AC18" s="151">
        <f t="shared" si="6"/>
        <v>66.078000000000003</v>
      </c>
      <c r="AD18" s="152">
        <f t="shared" si="7"/>
        <v>0</v>
      </c>
      <c r="AE18" s="152">
        <v>0</v>
      </c>
      <c r="AF18" s="137"/>
      <c r="AG18" s="149">
        <f t="shared" si="8"/>
        <v>64.790999999999997</v>
      </c>
      <c r="AH18" s="150">
        <f t="shared" si="9"/>
        <v>0</v>
      </c>
      <c r="AI18" s="150">
        <v>0</v>
      </c>
      <c r="AJ18" s="150">
        <f t="shared" si="10"/>
        <v>64.790999999999997</v>
      </c>
      <c r="AK18" s="150">
        <f t="shared" si="11"/>
        <v>68.25129311826403</v>
      </c>
      <c r="AL18" s="150">
        <f t="shared" si="12"/>
        <v>1.2869999999999999</v>
      </c>
      <c r="AM18" s="150">
        <f t="shared" si="13"/>
        <v>69.538293118264036</v>
      </c>
      <c r="AN18" s="150">
        <f t="shared" si="14"/>
        <v>67.956000000000003</v>
      </c>
      <c r="AO18" s="151">
        <f t="shared" si="15"/>
        <v>0</v>
      </c>
      <c r="AP18" s="138"/>
      <c r="AQ18" s="149">
        <v>0</v>
      </c>
      <c r="AR18" s="151">
        <f t="shared" si="16"/>
        <v>67.956000000000003</v>
      </c>
    </row>
    <row r="19" spans="1:44">
      <c r="A19" s="139" t="s">
        <v>69</v>
      </c>
      <c r="B19" s="140">
        <v>10027</v>
      </c>
      <c r="C19" s="141" t="s">
        <v>240</v>
      </c>
      <c r="D19" s="142">
        <v>306</v>
      </c>
      <c r="E19" s="143">
        <v>58.485999999999997</v>
      </c>
      <c r="F19" s="144">
        <v>0</v>
      </c>
      <c r="G19" s="144">
        <v>-0.255</v>
      </c>
      <c r="H19" s="144">
        <v>-34.051000000000002</v>
      </c>
      <c r="I19" s="144">
        <v>34.404000000000003</v>
      </c>
      <c r="J19" s="144">
        <f t="shared" si="0"/>
        <v>58.583999999999996</v>
      </c>
      <c r="K19" s="144">
        <v>9.9000000000000005E-2</v>
      </c>
      <c r="L19" s="145">
        <f t="shared" si="1"/>
        <v>58.683</v>
      </c>
      <c r="M19" s="143">
        <v>60.274000000000001</v>
      </c>
      <c r="N19" s="144">
        <v>0</v>
      </c>
      <c r="O19" s="144">
        <v>0.23</v>
      </c>
      <c r="P19" s="144">
        <v>-37.137</v>
      </c>
      <c r="Q19" s="144">
        <v>35.093000000000004</v>
      </c>
      <c r="R19" s="144">
        <f t="shared" si="2"/>
        <v>58.46</v>
      </c>
      <c r="S19" s="144">
        <v>0.32200000000000001</v>
      </c>
      <c r="T19" s="145">
        <f t="shared" si="3"/>
        <v>58.781999999999996</v>
      </c>
      <c r="U19" s="146">
        <f t="shared" si="4"/>
        <v>58.732999999999997</v>
      </c>
      <c r="V19" s="143">
        <v>56.99</v>
      </c>
      <c r="W19" s="144">
        <v>0</v>
      </c>
      <c r="X19" s="144">
        <v>0.34699999999999998</v>
      </c>
      <c r="Y19" s="144">
        <v>-33.548999999999999</v>
      </c>
      <c r="Z19" s="144">
        <v>35.576000000000001</v>
      </c>
      <c r="AA19" s="144">
        <f t="shared" si="5"/>
        <v>59.364000000000004</v>
      </c>
      <c r="AB19" s="144">
        <v>1.018</v>
      </c>
      <c r="AC19" s="145">
        <f t="shared" si="6"/>
        <v>60.381999999999998</v>
      </c>
      <c r="AD19" s="146">
        <f t="shared" si="7"/>
        <v>0</v>
      </c>
      <c r="AE19" s="146">
        <v>0</v>
      </c>
      <c r="AF19" s="147"/>
      <c r="AG19" s="143">
        <f t="shared" si="8"/>
        <v>59.364000000000004</v>
      </c>
      <c r="AH19" s="144">
        <f t="shared" si="9"/>
        <v>0</v>
      </c>
      <c r="AI19" s="144">
        <v>0</v>
      </c>
      <c r="AJ19" s="144">
        <f t="shared" si="10"/>
        <v>59.364000000000004</v>
      </c>
      <c r="AK19" s="144">
        <f t="shared" si="11"/>
        <v>62.534453314081063</v>
      </c>
      <c r="AL19" s="144">
        <f t="shared" si="12"/>
        <v>1.018</v>
      </c>
      <c r="AM19" s="144">
        <f t="shared" si="13"/>
        <v>63.552453314081063</v>
      </c>
      <c r="AN19" s="144">
        <f t="shared" si="14"/>
        <v>62.106999999999999</v>
      </c>
      <c r="AO19" s="145">
        <f t="shared" si="15"/>
        <v>0</v>
      </c>
      <c r="AP19" s="148"/>
      <c r="AQ19" s="143">
        <v>0</v>
      </c>
      <c r="AR19" s="145">
        <f t="shared" si="16"/>
        <v>62.106999999999999</v>
      </c>
    </row>
    <row r="20" spans="1:44">
      <c r="A20" s="129" t="s">
        <v>70</v>
      </c>
      <c r="B20" s="130">
        <v>10029</v>
      </c>
      <c r="C20" s="131" t="s">
        <v>6</v>
      </c>
      <c r="D20" s="132">
        <v>309</v>
      </c>
      <c r="E20" s="149">
        <v>17.613</v>
      </c>
      <c r="F20" s="150">
        <v>0</v>
      </c>
      <c r="G20" s="150">
        <v>-6.0999999999999999E-2</v>
      </c>
      <c r="H20" s="150">
        <v>0</v>
      </c>
      <c r="I20" s="150">
        <v>0</v>
      </c>
      <c r="J20" s="150">
        <f t="shared" si="0"/>
        <v>17.552</v>
      </c>
      <c r="K20" s="150">
        <v>5.0000000000000001E-3</v>
      </c>
      <c r="L20" s="151">
        <f t="shared" si="1"/>
        <v>17.556999999999999</v>
      </c>
      <c r="M20" s="149">
        <v>17.475999999999999</v>
      </c>
      <c r="N20" s="150">
        <v>0</v>
      </c>
      <c r="O20" s="150">
        <v>-0.313</v>
      </c>
      <c r="P20" s="150">
        <v>0</v>
      </c>
      <c r="Q20" s="150">
        <v>0</v>
      </c>
      <c r="R20" s="150">
        <f t="shared" si="2"/>
        <v>17.163</v>
      </c>
      <c r="S20" s="150">
        <v>0.02</v>
      </c>
      <c r="T20" s="151">
        <f t="shared" si="3"/>
        <v>17.183</v>
      </c>
      <c r="U20" s="152">
        <f t="shared" si="4"/>
        <v>17.37</v>
      </c>
      <c r="V20" s="149">
        <v>16.122</v>
      </c>
      <c r="W20" s="150">
        <v>0</v>
      </c>
      <c r="X20" s="150">
        <v>-1.4999999999999999E-2</v>
      </c>
      <c r="Y20" s="150">
        <v>0</v>
      </c>
      <c r="Z20" s="150">
        <v>0</v>
      </c>
      <c r="AA20" s="150">
        <f t="shared" si="5"/>
        <v>16.106999999999999</v>
      </c>
      <c r="AB20" s="150">
        <v>3.9E-2</v>
      </c>
      <c r="AC20" s="151">
        <f t="shared" si="6"/>
        <v>16.146000000000001</v>
      </c>
      <c r="AD20" s="152">
        <f t="shared" si="7"/>
        <v>1.2240000000000002</v>
      </c>
      <c r="AE20" s="152">
        <v>0</v>
      </c>
      <c r="AF20" s="137"/>
      <c r="AG20" s="149">
        <f t="shared" si="8"/>
        <v>16.106999999999999</v>
      </c>
      <c r="AH20" s="150">
        <f t="shared" si="9"/>
        <v>1.2240000000000002</v>
      </c>
      <c r="AI20" s="150">
        <v>0</v>
      </c>
      <c r="AJ20" s="150">
        <f t="shared" si="10"/>
        <v>17.331</v>
      </c>
      <c r="AK20" s="150">
        <f t="shared" si="11"/>
        <v>18.256596765486471</v>
      </c>
      <c r="AL20" s="150">
        <f t="shared" si="12"/>
        <v>3.9E-2</v>
      </c>
      <c r="AM20" s="150">
        <f t="shared" si="13"/>
        <v>18.295596765486472</v>
      </c>
      <c r="AN20" s="150">
        <f t="shared" si="14"/>
        <v>17.879000000000001</v>
      </c>
      <c r="AO20" s="151">
        <f t="shared" si="15"/>
        <v>1.2629999999999999</v>
      </c>
      <c r="AP20" s="138"/>
      <c r="AQ20" s="149">
        <v>0</v>
      </c>
      <c r="AR20" s="151">
        <f t="shared" si="16"/>
        <v>17.879000000000001</v>
      </c>
    </row>
    <row r="21" spans="1:44">
      <c r="A21" s="139" t="s">
        <v>71</v>
      </c>
      <c r="B21" s="140">
        <v>10061</v>
      </c>
      <c r="C21" s="141" t="s">
        <v>241</v>
      </c>
      <c r="D21" s="142">
        <v>106</v>
      </c>
      <c r="E21" s="143">
        <v>8.4710000000000001</v>
      </c>
      <c r="F21" s="144">
        <v>0</v>
      </c>
      <c r="G21" s="144">
        <v>-2.3E-2</v>
      </c>
      <c r="H21" s="144">
        <v>0</v>
      </c>
      <c r="I21" s="144">
        <v>0</v>
      </c>
      <c r="J21" s="144">
        <f t="shared" si="0"/>
        <v>8.4480000000000004</v>
      </c>
      <c r="K21" s="144">
        <v>0</v>
      </c>
      <c r="L21" s="145">
        <f t="shared" si="1"/>
        <v>8.4480000000000004</v>
      </c>
      <c r="M21" s="143">
        <v>8.5109999999999992</v>
      </c>
      <c r="N21" s="144">
        <v>0</v>
      </c>
      <c r="O21" s="144">
        <v>-0.11700000000000001</v>
      </c>
      <c r="P21" s="144">
        <v>0</v>
      </c>
      <c r="Q21" s="144">
        <v>0</v>
      </c>
      <c r="R21" s="144">
        <f t="shared" si="2"/>
        <v>8.3939999999999984</v>
      </c>
      <c r="S21" s="144">
        <v>1.6E-2</v>
      </c>
      <c r="T21" s="145">
        <f t="shared" si="3"/>
        <v>8.41</v>
      </c>
      <c r="U21" s="146">
        <f t="shared" si="4"/>
        <v>8.4290000000000003</v>
      </c>
      <c r="V21" s="143">
        <v>8.4209999999999994</v>
      </c>
      <c r="W21" s="144">
        <v>0</v>
      </c>
      <c r="X21" s="144">
        <v>5.3999999999999999E-2</v>
      </c>
      <c r="Y21" s="144">
        <v>0</v>
      </c>
      <c r="Z21" s="144">
        <v>0</v>
      </c>
      <c r="AA21" s="144">
        <f t="shared" si="5"/>
        <v>8.4749999999999996</v>
      </c>
      <c r="AB21" s="144">
        <v>0.156</v>
      </c>
      <c r="AC21" s="145">
        <f t="shared" si="6"/>
        <v>8.6310000000000002</v>
      </c>
      <c r="AD21" s="146">
        <f t="shared" si="7"/>
        <v>0</v>
      </c>
      <c r="AE21" s="146">
        <v>0</v>
      </c>
      <c r="AF21" s="147"/>
      <c r="AG21" s="143">
        <f t="shared" si="8"/>
        <v>8.4749999999999996</v>
      </c>
      <c r="AH21" s="144">
        <f t="shared" si="9"/>
        <v>0</v>
      </c>
      <c r="AI21" s="144">
        <v>0</v>
      </c>
      <c r="AJ21" s="144">
        <f t="shared" si="10"/>
        <v>8.4749999999999996</v>
      </c>
      <c r="AK21" s="144">
        <f t="shared" si="11"/>
        <v>8.9276243487102782</v>
      </c>
      <c r="AL21" s="144">
        <f t="shared" si="12"/>
        <v>0.156</v>
      </c>
      <c r="AM21" s="144">
        <f t="shared" si="13"/>
        <v>9.0836243487102788</v>
      </c>
      <c r="AN21" s="144">
        <f t="shared" si="14"/>
        <v>8.8770000000000007</v>
      </c>
      <c r="AO21" s="145">
        <f t="shared" si="15"/>
        <v>0</v>
      </c>
      <c r="AP21" s="148"/>
      <c r="AQ21" s="143">
        <v>0</v>
      </c>
      <c r="AR21" s="145">
        <f t="shared" si="16"/>
        <v>8.8770000000000007</v>
      </c>
    </row>
    <row r="22" spans="1:44">
      <c r="A22" s="129" t="s">
        <v>72</v>
      </c>
      <c r="B22" s="130">
        <v>10062</v>
      </c>
      <c r="C22" s="131" t="s">
        <v>242</v>
      </c>
      <c r="D22" s="132">
        <v>107</v>
      </c>
      <c r="E22" s="149">
        <v>7.83</v>
      </c>
      <c r="F22" s="150">
        <v>0</v>
      </c>
      <c r="G22" s="150">
        <v>-6.7000000000000004E-2</v>
      </c>
      <c r="H22" s="150">
        <v>0</v>
      </c>
      <c r="I22" s="150">
        <v>0</v>
      </c>
      <c r="J22" s="150">
        <f t="shared" si="0"/>
        <v>7.7629999999999999</v>
      </c>
      <c r="K22" s="150">
        <v>0</v>
      </c>
      <c r="L22" s="151">
        <f t="shared" si="1"/>
        <v>7.7629999999999999</v>
      </c>
      <c r="M22" s="149">
        <v>7.9109999999999996</v>
      </c>
      <c r="N22" s="150">
        <v>0</v>
      </c>
      <c r="O22" s="150">
        <v>-0.13400000000000001</v>
      </c>
      <c r="P22" s="150">
        <v>0</v>
      </c>
      <c r="Q22" s="150">
        <v>0</v>
      </c>
      <c r="R22" s="150">
        <f t="shared" si="2"/>
        <v>7.7769999999999992</v>
      </c>
      <c r="S22" s="150">
        <v>2.1000000000000001E-2</v>
      </c>
      <c r="T22" s="151">
        <f t="shared" si="3"/>
        <v>7.798</v>
      </c>
      <c r="U22" s="152">
        <f t="shared" si="4"/>
        <v>7.7809999999999997</v>
      </c>
      <c r="V22" s="149">
        <v>7.9409999999999998</v>
      </c>
      <c r="W22" s="150">
        <v>0</v>
      </c>
      <c r="X22" s="150">
        <v>-2.3E-2</v>
      </c>
      <c r="Y22" s="150">
        <v>0</v>
      </c>
      <c r="Z22" s="150">
        <v>0</v>
      </c>
      <c r="AA22" s="150">
        <f t="shared" si="5"/>
        <v>7.9180000000000001</v>
      </c>
      <c r="AB22" s="150">
        <v>5.8999999999999997E-2</v>
      </c>
      <c r="AC22" s="151">
        <f t="shared" si="6"/>
        <v>7.9770000000000003</v>
      </c>
      <c r="AD22" s="152">
        <f t="shared" si="7"/>
        <v>0</v>
      </c>
      <c r="AE22" s="152">
        <v>0</v>
      </c>
      <c r="AF22" s="137"/>
      <c r="AG22" s="149">
        <f t="shared" si="8"/>
        <v>7.9180000000000001</v>
      </c>
      <c r="AH22" s="150">
        <f t="shared" si="9"/>
        <v>0</v>
      </c>
      <c r="AI22" s="150">
        <v>-2.7290000000000001</v>
      </c>
      <c r="AJ22" s="150">
        <f t="shared" si="10"/>
        <v>5.1890000000000001</v>
      </c>
      <c r="AK22" s="150">
        <f t="shared" si="11"/>
        <v>5.4661289375171247</v>
      </c>
      <c r="AL22" s="150">
        <f t="shared" si="12"/>
        <v>5.8999999999999997E-2</v>
      </c>
      <c r="AM22" s="150">
        <f t="shared" si="13"/>
        <v>5.5251289375171249</v>
      </c>
      <c r="AN22" s="150">
        <f t="shared" si="14"/>
        <v>5.399</v>
      </c>
      <c r="AO22" s="151">
        <f t="shared" si="15"/>
        <v>0</v>
      </c>
      <c r="AP22" s="138"/>
      <c r="AQ22" s="149">
        <v>0</v>
      </c>
      <c r="AR22" s="151">
        <f t="shared" si="16"/>
        <v>5.399</v>
      </c>
    </row>
    <row r="23" spans="1:44">
      <c r="A23" s="139" t="s">
        <v>73</v>
      </c>
      <c r="B23" s="140">
        <v>10064</v>
      </c>
      <c r="C23" s="141" t="s">
        <v>243</v>
      </c>
      <c r="D23" s="142">
        <v>109</v>
      </c>
      <c r="E23" s="143">
        <v>13.417999999999999</v>
      </c>
      <c r="F23" s="144">
        <v>0</v>
      </c>
      <c r="G23" s="144">
        <v>-5.2999999999999999E-2</v>
      </c>
      <c r="H23" s="144">
        <v>0</v>
      </c>
      <c r="I23" s="144">
        <v>0</v>
      </c>
      <c r="J23" s="144">
        <f t="shared" si="0"/>
        <v>13.364999999999998</v>
      </c>
      <c r="K23" s="144">
        <v>7.0000000000000001E-3</v>
      </c>
      <c r="L23" s="145">
        <f t="shared" si="1"/>
        <v>13.372</v>
      </c>
      <c r="M23" s="143">
        <v>14.085000000000001</v>
      </c>
      <c r="N23" s="144">
        <v>0</v>
      </c>
      <c r="O23" s="144">
        <v>-0.14899999999999999</v>
      </c>
      <c r="P23" s="144">
        <v>0</v>
      </c>
      <c r="Q23" s="144">
        <v>0</v>
      </c>
      <c r="R23" s="144">
        <f t="shared" si="2"/>
        <v>13.936000000000002</v>
      </c>
      <c r="S23" s="144">
        <v>4.9000000000000002E-2</v>
      </c>
      <c r="T23" s="145">
        <f t="shared" si="3"/>
        <v>13.984999999999999</v>
      </c>
      <c r="U23" s="146">
        <f t="shared" si="4"/>
        <v>13.679</v>
      </c>
      <c r="V23" s="143">
        <v>13.769</v>
      </c>
      <c r="W23" s="144">
        <v>0</v>
      </c>
      <c r="X23" s="144">
        <v>-2.9000000000000001E-2</v>
      </c>
      <c r="Y23" s="144">
        <v>0</v>
      </c>
      <c r="Z23" s="144">
        <v>0</v>
      </c>
      <c r="AA23" s="144">
        <f t="shared" si="5"/>
        <v>13.74</v>
      </c>
      <c r="AB23" s="144">
        <v>0.13200000000000001</v>
      </c>
      <c r="AC23" s="145">
        <f t="shared" si="6"/>
        <v>13.872</v>
      </c>
      <c r="AD23" s="146">
        <f t="shared" si="7"/>
        <v>0</v>
      </c>
      <c r="AE23" s="146">
        <v>0</v>
      </c>
      <c r="AF23" s="147"/>
      <c r="AG23" s="143">
        <f t="shared" si="8"/>
        <v>13.74</v>
      </c>
      <c r="AH23" s="144">
        <f t="shared" si="9"/>
        <v>0</v>
      </c>
      <c r="AI23" s="144">
        <v>0</v>
      </c>
      <c r="AJ23" s="144">
        <f t="shared" si="10"/>
        <v>13.74</v>
      </c>
      <c r="AK23" s="144">
        <f t="shared" si="11"/>
        <v>14.473812218440028</v>
      </c>
      <c r="AL23" s="144">
        <f t="shared" si="12"/>
        <v>0.13200000000000001</v>
      </c>
      <c r="AM23" s="144">
        <f t="shared" si="13"/>
        <v>14.605812218440027</v>
      </c>
      <c r="AN23" s="144">
        <f t="shared" si="14"/>
        <v>14.273999999999999</v>
      </c>
      <c r="AO23" s="145">
        <f t="shared" si="15"/>
        <v>0</v>
      </c>
      <c r="AP23" s="148"/>
      <c r="AQ23" s="143">
        <v>0</v>
      </c>
      <c r="AR23" s="145">
        <f t="shared" si="16"/>
        <v>14.273999999999999</v>
      </c>
    </row>
    <row r="24" spans="1:44">
      <c r="A24" s="129" t="s">
        <v>74</v>
      </c>
      <c r="B24" s="130">
        <v>10044</v>
      </c>
      <c r="C24" s="131" t="s">
        <v>244</v>
      </c>
      <c r="D24" s="132">
        <v>111</v>
      </c>
      <c r="E24" s="149">
        <v>19.338999999999999</v>
      </c>
      <c r="F24" s="150">
        <v>0</v>
      </c>
      <c r="G24" s="150">
        <v>-3.2000000000000001E-2</v>
      </c>
      <c r="H24" s="150">
        <v>0</v>
      </c>
      <c r="I24" s="150">
        <v>0</v>
      </c>
      <c r="J24" s="150">
        <f t="shared" si="0"/>
        <v>19.306999999999999</v>
      </c>
      <c r="K24" s="150">
        <v>0.11799999999999999</v>
      </c>
      <c r="L24" s="151">
        <f t="shared" si="1"/>
        <v>19.425000000000001</v>
      </c>
      <c r="M24" s="149">
        <v>20.047999999999998</v>
      </c>
      <c r="N24" s="150">
        <v>0</v>
      </c>
      <c r="O24" s="150">
        <v>-0.30499999999999999</v>
      </c>
      <c r="P24" s="150">
        <v>0</v>
      </c>
      <c r="Q24" s="150">
        <v>0</v>
      </c>
      <c r="R24" s="150">
        <f t="shared" si="2"/>
        <v>19.742999999999999</v>
      </c>
      <c r="S24" s="150">
        <v>0.16500000000000001</v>
      </c>
      <c r="T24" s="151">
        <f t="shared" si="3"/>
        <v>19.908000000000001</v>
      </c>
      <c r="U24" s="152">
        <f t="shared" si="4"/>
        <v>19.667000000000002</v>
      </c>
      <c r="V24" s="149">
        <v>19.591999999999999</v>
      </c>
      <c r="W24" s="150">
        <v>0</v>
      </c>
      <c r="X24" s="150">
        <v>0.125</v>
      </c>
      <c r="Y24" s="150">
        <v>0</v>
      </c>
      <c r="Z24" s="150">
        <v>0</v>
      </c>
      <c r="AA24" s="150">
        <f t="shared" si="5"/>
        <v>19.716999999999999</v>
      </c>
      <c r="AB24" s="150">
        <v>0.32200000000000001</v>
      </c>
      <c r="AC24" s="151">
        <f t="shared" si="6"/>
        <v>20.039000000000001</v>
      </c>
      <c r="AD24" s="152">
        <f t="shared" si="7"/>
        <v>0</v>
      </c>
      <c r="AE24" s="152">
        <v>0</v>
      </c>
      <c r="AF24" s="137"/>
      <c r="AG24" s="149">
        <f t="shared" si="8"/>
        <v>19.716999999999999</v>
      </c>
      <c r="AH24" s="150">
        <f t="shared" si="9"/>
        <v>0</v>
      </c>
      <c r="AI24" s="150">
        <v>0</v>
      </c>
      <c r="AJ24" s="150">
        <f t="shared" si="10"/>
        <v>19.716999999999999</v>
      </c>
      <c r="AK24" s="150">
        <f t="shared" si="11"/>
        <v>20.770025874161718</v>
      </c>
      <c r="AL24" s="150">
        <f t="shared" si="12"/>
        <v>0.32200000000000001</v>
      </c>
      <c r="AM24" s="150">
        <f t="shared" si="13"/>
        <v>21.092025874161717</v>
      </c>
      <c r="AN24" s="150">
        <f t="shared" si="14"/>
        <v>20.611999999999998</v>
      </c>
      <c r="AO24" s="151">
        <f t="shared" si="15"/>
        <v>0</v>
      </c>
      <c r="AP24" s="138"/>
      <c r="AQ24" s="149">
        <v>0</v>
      </c>
      <c r="AR24" s="151">
        <f t="shared" si="16"/>
        <v>20.611999999999998</v>
      </c>
    </row>
    <row r="25" spans="1:44">
      <c r="A25" s="139" t="s">
        <v>75</v>
      </c>
      <c r="B25" s="140">
        <v>10065</v>
      </c>
      <c r="C25" s="141" t="s">
        <v>7</v>
      </c>
      <c r="D25" s="142">
        <v>115</v>
      </c>
      <c r="E25" s="143">
        <v>2.5920000000000001</v>
      </c>
      <c r="F25" s="144">
        <v>0</v>
      </c>
      <c r="G25" s="144">
        <v>-1.0999999999999999E-2</v>
      </c>
      <c r="H25" s="144">
        <v>0</v>
      </c>
      <c r="I25" s="144">
        <v>0</v>
      </c>
      <c r="J25" s="144">
        <f t="shared" si="0"/>
        <v>2.581</v>
      </c>
      <c r="K25" s="144">
        <v>0</v>
      </c>
      <c r="L25" s="145">
        <f t="shared" si="1"/>
        <v>2.581</v>
      </c>
      <c r="M25" s="143">
        <v>2.5870000000000002</v>
      </c>
      <c r="N25" s="144">
        <v>0</v>
      </c>
      <c r="O25" s="144">
        <v>-4.2999999999999997E-2</v>
      </c>
      <c r="P25" s="144">
        <v>0</v>
      </c>
      <c r="Q25" s="144">
        <v>0</v>
      </c>
      <c r="R25" s="144">
        <f t="shared" si="2"/>
        <v>2.544</v>
      </c>
      <c r="S25" s="144">
        <v>5.0000000000000001E-3</v>
      </c>
      <c r="T25" s="145">
        <f t="shared" si="3"/>
        <v>2.5489999999999999</v>
      </c>
      <c r="U25" s="146">
        <f t="shared" si="4"/>
        <v>2.5649999999999999</v>
      </c>
      <c r="V25" s="143">
        <v>2.31</v>
      </c>
      <c r="W25" s="144">
        <v>0</v>
      </c>
      <c r="X25" s="144">
        <v>-0.01</v>
      </c>
      <c r="Y25" s="144">
        <v>0</v>
      </c>
      <c r="Z25" s="144">
        <v>0</v>
      </c>
      <c r="AA25" s="144">
        <f t="shared" si="5"/>
        <v>2.3000000000000003</v>
      </c>
      <c r="AB25" s="144">
        <v>5.0999999999999997E-2</v>
      </c>
      <c r="AC25" s="145">
        <f t="shared" si="6"/>
        <v>2.351</v>
      </c>
      <c r="AD25" s="146">
        <f t="shared" si="7"/>
        <v>0.21399999999999997</v>
      </c>
      <c r="AE25" s="146">
        <v>0</v>
      </c>
      <c r="AF25" s="147"/>
      <c r="AG25" s="143">
        <f t="shared" si="8"/>
        <v>2.3000000000000003</v>
      </c>
      <c r="AH25" s="144">
        <f t="shared" si="9"/>
        <v>0.21399999999999997</v>
      </c>
      <c r="AI25" s="144">
        <v>0</v>
      </c>
      <c r="AJ25" s="144">
        <f t="shared" si="10"/>
        <v>2.5140000000000002</v>
      </c>
      <c r="AK25" s="144">
        <f t="shared" si="11"/>
        <v>2.6482652050333502</v>
      </c>
      <c r="AL25" s="144">
        <f t="shared" si="12"/>
        <v>5.0999999999999997E-2</v>
      </c>
      <c r="AM25" s="144">
        <f t="shared" si="13"/>
        <v>2.6992652050333503</v>
      </c>
      <c r="AN25" s="144">
        <f t="shared" si="14"/>
        <v>2.6379999999999999</v>
      </c>
      <c r="AO25" s="145">
        <f t="shared" si="15"/>
        <v>0.22500000000000001</v>
      </c>
      <c r="AP25" s="148"/>
      <c r="AQ25" s="143">
        <v>0</v>
      </c>
      <c r="AR25" s="145">
        <f t="shared" si="16"/>
        <v>2.6379999999999999</v>
      </c>
    </row>
    <row r="26" spans="1:44">
      <c r="A26" s="129" t="s">
        <v>76</v>
      </c>
      <c r="B26" s="130">
        <v>10046</v>
      </c>
      <c r="C26" s="131" t="s">
        <v>245</v>
      </c>
      <c r="D26" s="132">
        <v>312</v>
      </c>
      <c r="E26" s="149">
        <v>79.349999999999994</v>
      </c>
      <c r="F26" s="150">
        <v>0</v>
      </c>
      <c r="G26" s="150">
        <v>-0.23</v>
      </c>
      <c r="H26" s="150">
        <v>-7.4930000000000003</v>
      </c>
      <c r="I26" s="150">
        <v>6.7320000000000002</v>
      </c>
      <c r="J26" s="150">
        <f t="shared" si="0"/>
        <v>78.358999999999995</v>
      </c>
      <c r="K26" s="150">
        <v>0.113</v>
      </c>
      <c r="L26" s="151">
        <f t="shared" si="1"/>
        <v>78.471999999999994</v>
      </c>
      <c r="M26" s="149">
        <v>83.022999999999996</v>
      </c>
      <c r="N26" s="150">
        <v>0</v>
      </c>
      <c r="O26" s="150">
        <v>-1.4910000000000001</v>
      </c>
      <c r="P26" s="150">
        <v>-7.0540000000000003</v>
      </c>
      <c r="Q26" s="150">
        <v>6.7690000000000001</v>
      </c>
      <c r="R26" s="150">
        <f t="shared" si="2"/>
        <v>81.247</v>
      </c>
      <c r="S26" s="150">
        <v>0.20599999999999999</v>
      </c>
      <c r="T26" s="151">
        <f t="shared" si="3"/>
        <v>81.453000000000003</v>
      </c>
      <c r="U26" s="152">
        <f t="shared" si="4"/>
        <v>79.962999999999994</v>
      </c>
      <c r="V26" s="149">
        <v>79.935000000000002</v>
      </c>
      <c r="W26" s="150">
        <v>0</v>
      </c>
      <c r="X26" s="150">
        <v>-0.13200000000000001</v>
      </c>
      <c r="Y26" s="150">
        <v>-6.5780000000000003</v>
      </c>
      <c r="Z26" s="150">
        <v>6.9009999999999998</v>
      </c>
      <c r="AA26" s="150">
        <f t="shared" si="5"/>
        <v>80.125999999999991</v>
      </c>
      <c r="AB26" s="150">
        <v>0.60099999999999998</v>
      </c>
      <c r="AC26" s="151">
        <f t="shared" si="6"/>
        <v>80.727000000000004</v>
      </c>
      <c r="AD26" s="152">
        <f t="shared" si="7"/>
        <v>0</v>
      </c>
      <c r="AE26" s="152">
        <v>0</v>
      </c>
      <c r="AF26" s="137" t="s">
        <v>246</v>
      </c>
      <c r="AG26" s="149">
        <f t="shared" si="8"/>
        <v>80.125999999999991</v>
      </c>
      <c r="AH26" s="150">
        <f t="shared" si="9"/>
        <v>0</v>
      </c>
      <c r="AI26" s="150">
        <v>0</v>
      </c>
      <c r="AJ26" s="150">
        <f t="shared" si="10"/>
        <v>80.125999999999991</v>
      </c>
      <c r="AK26" s="150">
        <f t="shared" si="11"/>
        <v>84.405289506166341</v>
      </c>
      <c r="AL26" s="150">
        <f t="shared" si="12"/>
        <v>0.60099999999999998</v>
      </c>
      <c r="AM26" s="150">
        <f t="shared" si="13"/>
        <v>85.00628950616634</v>
      </c>
      <c r="AN26" s="150">
        <f t="shared" si="14"/>
        <v>83.072000000000003</v>
      </c>
      <c r="AO26" s="151">
        <f t="shared" si="15"/>
        <v>0</v>
      </c>
      <c r="AP26" s="138"/>
      <c r="AQ26" s="149">
        <v>0</v>
      </c>
      <c r="AR26" s="151">
        <f t="shared" si="16"/>
        <v>83.072000000000003</v>
      </c>
    </row>
    <row r="27" spans="1:44">
      <c r="A27" s="139" t="s">
        <v>77</v>
      </c>
      <c r="B27" s="140">
        <v>10047</v>
      </c>
      <c r="C27" s="141" t="s">
        <v>247</v>
      </c>
      <c r="D27" s="142">
        <v>207</v>
      </c>
      <c r="E27" s="143">
        <v>154.458</v>
      </c>
      <c r="F27" s="144">
        <v>0</v>
      </c>
      <c r="G27" s="144">
        <v>-2.0659999999999998</v>
      </c>
      <c r="H27" s="144">
        <v>0</v>
      </c>
      <c r="I27" s="144">
        <v>0</v>
      </c>
      <c r="J27" s="144">
        <f t="shared" si="0"/>
        <v>152.392</v>
      </c>
      <c r="K27" s="144">
        <v>9.6000000000000002E-2</v>
      </c>
      <c r="L27" s="145">
        <f t="shared" si="1"/>
        <v>152.488</v>
      </c>
      <c r="M27" s="143">
        <v>158.392</v>
      </c>
      <c r="N27" s="144">
        <v>0</v>
      </c>
      <c r="O27" s="144">
        <v>-3.7090000000000001</v>
      </c>
      <c r="P27" s="144">
        <v>0</v>
      </c>
      <c r="Q27" s="144">
        <v>0</v>
      </c>
      <c r="R27" s="144">
        <f t="shared" si="2"/>
        <v>154.68299999999999</v>
      </c>
      <c r="S27" s="144">
        <v>0.33100000000000002</v>
      </c>
      <c r="T27" s="145">
        <f t="shared" si="3"/>
        <v>155.01400000000001</v>
      </c>
      <c r="U27" s="146">
        <f t="shared" si="4"/>
        <v>153.751</v>
      </c>
      <c r="V27" s="143">
        <v>152.47200000000001</v>
      </c>
      <c r="W27" s="144">
        <v>0</v>
      </c>
      <c r="X27" s="144">
        <v>0.52900000000000003</v>
      </c>
      <c r="Y27" s="144">
        <v>0</v>
      </c>
      <c r="Z27" s="144">
        <v>0</v>
      </c>
      <c r="AA27" s="144">
        <f t="shared" si="5"/>
        <v>153.001</v>
      </c>
      <c r="AB27" s="144">
        <v>1.54</v>
      </c>
      <c r="AC27" s="145">
        <f t="shared" si="6"/>
        <v>154.541</v>
      </c>
      <c r="AD27" s="146">
        <f t="shared" si="7"/>
        <v>0</v>
      </c>
      <c r="AE27" s="146">
        <v>0</v>
      </c>
      <c r="AF27" s="147"/>
      <c r="AG27" s="143">
        <f t="shared" si="8"/>
        <v>153.001</v>
      </c>
      <c r="AH27" s="144">
        <f t="shared" si="9"/>
        <v>0</v>
      </c>
      <c r="AI27" s="144">
        <v>0</v>
      </c>
      <c r="AJ27" s="144">
        <f t="shared" si="10"/>
        <v>153.001</v>
      </c>
      <c r="AK27" s="144">
        <f t="shared" si="11"/>
        <v>161.17232483504677</v>
      </c>
      <c r="AL27" s="144">
        <f t="shared" si="12"/>
        <v>1.54</v>
      </c>
      <c r="AM27" s="144">
        <f t="shared" si="13"/>
        <v>162.71232483504676</v>
      </c>
      <c r="AN27" s="144">
        <f t="shared" si="14"/>
        <v>159.01</v>
      </c>
      <c r="AO27" s="145">
        <f t="shared" si="15"/>
        <v>0</v>
      </c>
      <c r="AP27" s="148"/>
      <c r="AQ27" s="143">
        <v>0</v>
      </c>
      <c r="AR27" s="145">
        <f t="shared" si="16"/>
        <v>159.01</v>
      </c>
    </row>
    <row r="28" spans="1:44">
      <c r="A28" s="129" t="s">
        <v>78</v>
      </c>
      <c r="B28" s="130">
        <v>10066</v>
      </c>
      <c r="C28" s="131" t="s">
        <v>248</v>
      </c>
      <c r="D28" s="132">
        <v>119</v>
      </c>
      <c r="E28" s="149">
        <v>29.943000000000001</v>
      </c>
      <c r="F28" s="150">
        <v>0</v>
      </c>
      <c r="G28" s="150">
        <v>-3.5000000000000003E-2</v>
      </c>
      <c r="H28" s="150">
        <v>0</v>
      </c>
      <c r="I28" s="150">
        <v>0</v>
      </c>
      <c r="J28" s="150">
        <f t="shared" si="0"/>
        <v>29.908000000000001</v>
      </c>
      <c r="K28" s="150">
        <v>0.104</v>
      </c>
      <c r="L28" s="151">
        <f t="shared" si="1"/>
        <v>30.012</v>
      </c>
      <c r="M28" s="149">
        <v>32.176000000000002</v>
      </c>
      <c r="N28" s="150">
        <v>0</v>
      </c>
      <c r="O28" s="150">
        <v>-0.81399999999999995</v>
      </c>
      <c r="P28" s="150">
        <v>0</v>
      </c>
      <c r="Q28" s="150">
        <v>0</v>
      </c>
      <c r="R28" s="150">
        <f t="shared" si="2"/>
        <v>31.362000000000002</v>
      </c>
      <c r="S28" s="150">
        <v>0.26800000000000002</v>
      </c>
      <c r="T28" s="151">
        <f t="shared" si="3"/>
        <v>31.63</v>
      </c>
      <c r="U28" s="152">
        <f t="shared" si="4"/>
        <v>30.821000000000002</v>
      </c>
      <c r="V28" s="149">
        <v>31.501999999999999</v>
      </c>
      <c r="W28" s="150">
        <v>0</v>
      </c>
      <c r="X28" s="150">
        <v>5.0000000000000001E-3</v>
      </c>
      <c r="Y28" s="150">
        <v>0</v>
      </c>
      <c r="Z28" s="150">
        <v>0</v>
      </c>
      <c r="AA28" s="150">
        <f t="shared" si="5"/>
        <v>31.506999999999998</v>
      </c>
      <c r="AB28" s="150">
        <v>0.375</v>
      </c>
      <c r="AC28" s="151">
        <f t="shared" si="6"/>
        <v>31.882000000000001</v>
      </c>
      <c r="AD28" s="152">
        <f t="shared" si="7"/>
        <v>0</v>
      </c>
      <c r="AE28" s="152">
        <v>0</v>
      </c>
      <c r="AF28" s="137"/>
      <c r="AG28" s="149">
        <f t="shared" si="8"/>
        <v>31.506999999999998</v>
      </c>
      <c r="AH28" s="150">
        <f t="shared" si="9"/>
        <v>0</v>
      </c>
      <c r="AI28" s="150">
        <v>-7.835</v>
      </c>
      <c r="AJ28" s="150">
        <f t="shared" si="10"/>
        <v>23.671999999999997</v>
      </c>
      <c r="AK28" s="150">
        <f t="shared" si="11"/>
        <v>24.936250570226512</v>
      </c>
      <c r="AL28" s="150">
        <f t="shared" si="12"/>
        <v>0.375</v>
      </c>
      <c r="AM28" s="150">
        <f t="shared" si="13"/>
        <v>25.311250570226512</v>
      </c>
      <c r="AN28" s="150">
        <f t="shared" si="14"/>
        <v>24.734999999999999</v>
      </c>
      <c r="AO28" s="151">
        <f t="shared" si="15"/>
        <v>0</v>
      </c>
      <c r="AP28" s="138"/>
      <c r="AQ28" s="149">
        <v>0</v>
      </c>
      <c r="AR28" s="151">
        <f t="shared" si="16"/>
        <v>24.734999999999999</v>
      </c>
    </row>
    <row r="29" spans="1:44">
      <c r="A29" s="139" t="s">
        <v>79</v>
      </c>
      <c r="B29" s="140">
        <v>10067</v>
      </c>
      <c r="C29" s="141" t="s">
        <v>249</v>
      </c>
      <c r="D29" s="142">
        <v>123</v>
      </c>
      <c r="E29" s="143">
        <v>14.717000000000001</v>
      </c>
      <c r="F29" s="144">
        <v>0</v>
      </c>
      <c r="G29" s="144">
        <v>-4.4999999999999998E-2</v>
      </c>
      <c r="H29" s="144">
        <v>0</v>
      </c>
      <c r="I29" s="144">
        <v>0</v>
      </c>
      <c r="J29" s="144">
        <f t="shared" si="0"/>
        <v>14.672000000000001</v>
      </c>
      <c r="K29" s="144">
        <v>1.0999999999999999E-2</v>
      </c>
      <c r="L29" s="145">
        <f t="shared" si="1"/>
        <v>14.683</v>
      </c>
      <c r="M29" s="143">
        <v>15.016</v>
      </c>
      <c r="N29" s="144">
        <v>0</v>
      </c>
      <c r="O29" s="144">
        <v>-0.224</v>
      </c>
      <c r="P29" s="144">
        <v>0</v>
      </c>
      <c r="Q29" s="144">
        <v>0</v>
      </c>
      <c r="R29" s="144">
        <f t="shared" si="2"/>
        <v>14.792</v>
      </c>
      <c r="S29" s="144">
        <v>0.16</v>
      </c>
      <c r="T29" s="145">
        <f t="shared" si="3"/>
        <v>14.952</v>
      </c>
      <c r="U29" s="146">
        <f t="shared" si="4"/>
        <v>14.818</v>
      </c>
      <c r="V29" s="143">
        <v>15.266</v>
      </c>
      <c r="W29" s="144">
        <v>0</v>
      </c>
      <c r="X29" s="144">
        <v>8.8999999999999996E-2</v>
      </c>
      <c r="Y29" s="144">
        <v>0</v>
      </c>
      <c r="Z29" s="144">
        <v>0</v>
      </c>
      <c r="AA29" s="144">
        <f t="shared" si="5"/>
        <v>15.355</v>
      </c>
      <c r="AB29" s="144">
        <v>0.252</v>
      </c>
      <c r="AC29" s="145">
        <f t="shared" si="6"/>
        <v>15.606999999999999</v>
      </c>
      <c r="AD29" s="146">
        <f t="shared" si="7"/>
        <v>0</v>
      </c>
      <c r="AE29" s="146">
        <v>0</v>
      </c>
      <c r="AF29" s="147"/>
      <c r="AG29" s="143">
        <f t="shared" si="8"/>
        <v>15.355</v>
      </c>
      <c r="AH29" s="144">
        <f t="shared" si="9"/>
        <v>0</v>
      </c>
      <c r="AI29" s="144">
        <v>0</v>
      </c>
      <c r="AJ29" s="144">
        <f t="shared" si="10"/>
        <v>15.355</v>
      </c>
      <c r="AK29" s="144">
        <f t="shared" si="11"/>
        <v>16.17506452795827</v>
      </c>
      <c r="AL29" s="144">
        <f t="shared" si="12"/>
        <v>0.252</v>
      </c>
      <c r="AM29" s="144">
        <f t="shared" si="13"/>
        <v>16.427064527958269</v>
      </c>
      <c r="AN29" s="144">
        <f t="shared" si="14"/>
        <v>16.053000000000001</v>
      </c>
      <c r="AO29" s="145">
        <f t="shared" si="15"/>
        <v>0</v>
      </c>
      <c r="AP29" s="148"/>
      <c r="AQ29" s="143">
        <v>0</v>
      </c>
      <c r="AR29" s="145">
        <f t="shared" si="16"/>
        <v>16.053000000000001</v>
      </c>
    </row>
    <row r="30" spans="1:44">
      <c r="A30" s="129" t="s">
        <v>80</v>
      </c>
      <c r="B30" s="130">
        <v>10068</v>
      </c>
      <c r="C30" s="131" t="s">
        <v>8</v>
      </c>
      <c r="D30" s="132">
        <v>124</v>
      </c>
      <c r="E30" s="149">
        <v>2.82</v>
      </c>
      <c r="F30" s="150">
        <v>0</v>
      </c>
      <c r="G30" s="150">
        <v>-8.9999999999999993E-3</v>
      </c>
      <c r="H30" s="150">
        <v>0</v>
      </c>
      <c r="I30" s="150">
        <v>0</v>
      </c>
      <c r="J30" s="150">
        <f t="shared" si="0"/>
        <v>2.8109999999999999</v>
      </c>
      <c r="K30" s="150">
        <v>0</v>
      </c>
      <c r="L30" s="151">
        <f t="shared" si="1"/>
        <v>2.8109999999999999</v>
      </c>
      <c r="M30" s="149">
        <v>2.8319999999999999</v>
      </c>
      <c r="N30" s="150">
        <v>0</v>
      </c>
      <c r="O30" s="150">
        <v>-3.5999999999999997E-2</v>
      </c>
      <c r="P30" s="150">
        <v>0</v>
      </c>
      <c r="Q30" s="150">
        <v>0</v>
      </c>
      <c r="R30" s="150">
        <f t="shared" si="2"/>
        <v>2.7959999999999998</v>
      </c>
      <c r="S30" s="150">
        <v>6.0000000000000001E-3</v>
      </c>
      <c r="T30" s="151">
        <f t="shared" si="3"/>
        <v>2.802</v>
      </c>
      <c r="U30" s="152">
        <f t="shared" si="4"/>
        <v>2.8069999999999999</v>
      </c>
      <c r="V30" s="149">
        <v>2.6659999999999999</v>
      </c>
      <c r="W30" s="150">
        <v>0</v>
      </c>
      <c r="X30" s="150">
        <v>1.4999999999999999E-2</v>
      </c>
      <c r="Y30" s="150">
        <v>0</v>
      </c>
      <c r="Z30" s="150">
        <v>0</v>
      </c>
      <c r="AA30" s="150">
        <f t="shared" si="5"/>
        <v>2.681</v>
      </c>
      <c r="AB30" s="150">
        <v>5.3999999999999999E-2</v>
      </c>
      <c r="AC30" s="151">
        <f t="shared" si="6"/>
        <v>2.7349999999999999</v>
      </c>
      <c r="AD30" s="152">
        <f t="shared" si="7"/>
        <v>7.2000000000000064E-2</v>
      </c>
      <c r="AE30" s="152">
        <v>0</v>
      </c>
      <c r="AF30" s="137"/>
      <c r="AG30" s="149">
        <f t="shared" si="8"/>
        <v>2.681</v>
      </c>
      <c r="AH30" s="150">
        <f t="shared" si="9"/>
        <v>7.2000000000000064E-2</v>
      </c>
      <c r="AI30" s="150">
        <v>0</v>
      </c>
      <c r="AJ30" s="150">
        <f t="shared" si="10"/>
        <v>2.7530000000000001</v>
      </c>
      <c r="AK30" s="150">
        <f t="shared" si="11"/>
        <v>2.900029478701994</v>
      </c>
      <c r="AL30" s="150">
        <f t="shared" si="12"/>
        <v>5.3999999999999999E-2</v>
      </c>
      <c r="AM30" s="150">
        <f t="shared" si="13"/>
        <v>2.9540294787019938</v>
      </c>
      <c r="AN30" s="150">
        <f t="shared" si="14"/>
        <v>2.887</v>
      </c>
      <c r="AO30" s="151">
        <f t="shared" si="15"/>
        <v>7.5999999999999998E-2</v>
      </c>
      <c r="AP30" s="138"/>
      <c r="AQ30" s="149">
        <v>0</v>
      </c>
      <c r="AR30" s="151">
        <f t="shared" si="16"/>
        <v>2.887</v>
      </c>
    </row>
    <row r="31" spans="1:44">
      <c r="A31" s="139" t="s">
        <v>81</v>
      </c>
      <c r="B31" s="140">
        <v>10101</v>
      </c>
      <c r="C31" s="141" t="s">
        <v>250</v>
      </c>
      <c r="D31" s="142">
        <v>213</v>
      </c>
      <c r="E31" s="143">
        <v>76.492999999999995</v>
      </c>
      <c r="F31" s="144">
        <v>0</v>
      </c>
      <c r="G31" s="144">
        <v>-2.6110000000000002</v>
      </c>
      <c r="H31" s="144">
        <v>0</v>
      </c>
      <c r="I31" s="144">
        <v>0</v>
      </c>
      <c r="J31" s="144">
        <f t="shared" si="0"/>
        <v>73.881999999999991</v>
      </c>
      <c r="K31" s="144">
        <v>9.5000000000000001E-2</v>
      </c>
      <c r="L31" s="145">
        <f t="shared" si="1"/>
        <v>73.977000000000004</v>
      </c>
      <c r="M31" s="143">
        <v>79.81</v>
      </c>
      <c r="N31" s="144">
        <v>0</v>
      </c>
      <c r="O31" s="144">
        <v>-5.2729999999999997</v>
      </c>
      <c r="P31" s="144">
        <v>0</v>
      </c>
      <c r="Q31" s="144">
        <v>0</v>
      </c>
      <c r="R31" s="144">
        <f t="shared" si="2"/>
        <v>74.537000000000006</v>
      </c>
      <c r="S31" s="144">
        <v>0.28499999999999998</v>
      </c>
      <c r="T31" s="145">
        <f t="shared" si="3"/>
        <v>74.822000000000003</v>
      </c>
      <c r="U31" s="146">
        <f t="shared" si="4"/>
        <v>74.400000000000006</v>
      </c>
      <c r="V31" s="143">
        <v>75.335999999999999</v>
      </c>
      <c r="W31" s="144">
        <v>0</v>
      </c>
      <c r="X31" s="144">
        <v>-1.1830000000000001</v>
      </c>
      <c r="Y31" s="144">
        <v>0</v>
      </c>
      <c r="Z31" s="144">
        <v>0</v>
      </c>
      <c r="AA31" s="144">
        <f t="shared" si="5"/>
        <v>74.152999999999992</v>
      </c>
      <c r="AB31" s="144">
        <v>1.33</v>
      </c>
      <c r="AC31" s="145">
        <f t="shared" si="6"/>
        <v>75.483000000000004</v>
      </c>
      <c r="AD31" s="146">
        <f t="shared" si="7"/>
        <v>0</v>
      </c>
      <c r="AE31" s="146">
        <v>0</v>
      </c>
      <c r="AF31" s="147"/>
      <c r="AG31" s="143">
        <f t="shared" si="8"/>
        <v>74.152999999999992</v>
      </c>
      <c r="AH31" s="144">
        <f t="shared" si="9"/>
        <v>0</v>
      </c>
      <c r="AI31" s="144">
        <v>-0.46</v>
      </c>
      <c r="AJ31" s="144">
        <f t="shared" si="10"/>
        <v>73.692999999999998</v>
      </c>
      <c r="AK31" s="144">
        <f t="shared" si="11"/>
        <v>77.628722257168917</v>
      </c>
      <c r="AL31" s="144">
        <f t="shared" si="12"/>
        <v>1.33</v>
      </c>
      <c r="AM31" s="144">
        <f t="shared" si="13"/>
        <v>78.958722257168915</v>
      </c>
      <c r="AN31" s="144">
        <f t="shared" si="14"/>
        <v>77.162000000000006</v>
      </c>
      <c r="AO31" s="145">
        <f t="shared" si="15"/>
        <v>0</v>
      </c>
      <c r="AP31" s="148"/>
      <c r="AQ31" s="143">
        <v>0</v>
      </c>
      <c r="AR31" s="145">
        <f t="shared" si="16"/>
        <v>77.162000000000006</v>
      </c>
    </row>
    <row r="32" spans="1:44">
      <c r="A32" s="129" t="s">
        <v>82</v>
      </c>
      <c r="B32" s="130">
        <v>10103</v>
      </c>
      <c r="C32" s="131" t="s">
        <v>9</v>
      </c>
      <c r="D32" s="132">
        <v>216</v>
      </c>
      <c r="E32" s="149">
        <v>534.89599999999996</v>
      </c>
      <c r="F32" s="150">
        <v>0</v>
      </c>
      <c r="G32" s="150">
        <v>-0.64700000000000002</v>
      </c>
      <c r="H32" s="150">
        <v>0</v>
      </c>
      <c r="I32" s="150">
        <v>0</v>
      </c>
      <c r="J32" s="150">
        <f t="shared" si="0"/>
        <v>534.24899999999991</v>
      </c>
      <c r="K32" s="150">
        <v>1.206</v>
      </c>
      <c r="L32" s="151">
        <f t="shared" si="1"/>
        <v>535.45500000000004</v>
      </c>
      <c r="M32" s="149">
        <v>553.19399999999996</v>
      </c>
      <c r="N32" s="150">
        <v>0</v>
      </c>
      <c r="O32" s="150">
        <v>-10.414999999999999</v>
      </c>
      <c r="P32" s="150">
        <v>0</v>
      </c>
      <c r="Q32" s="150">
        <v>0</v>
      </c>
      <c r="R32" s="150">
        <f t="shared" si="2"/>
        <v>542.779</v>
      </c>
      <c r="S32" s="150">
        <v>2.915</v>
      </c>
      <c r="T32" s="151">
        <f t="shared" si="3"/>
        <v>545.69399999999996</v>
      </c>
      <c r="U32" s="152">
        <f t="shared" si="4"/>
        <v>540.57500000000005</v>
      </c>
      <c r="V32" s="149">
        <v>521.31600000000003</v>
      </c>
      <c r="W32" s="150">
        <v>0</v>
      </c>
      <c r="X32" s="150">
        <v>1.1679999999999999</v>
      </c>
      <c r="Y32" s="150">
        <v>0</v>
      </c>
      <c r="Z32" s="150">
        <v>0</v>
      </c>
      <c r="AA32" s="150">
        <f t="shared" si="5"/>
        <v>522.48400000000004</v>
      </c>
      <c r="AB32" s="150">
        <v>9.0850000000000009</v>
      </c>
      <c r="AC32" s="151">
        <f t="shared" si="6"/>
        <v>531.56899999999996</v>
      </c>
      <c r="AD32" s="152">
        <f t="shared" si="7"/>
        <v>9.0060000000000855</v>
      </c>
      <c r="AE32" s="152">
        <v>0</v>
      </c>
      <c r="AF32" s="137"/>
      <c r="AG32" s="149">
        <f t="shared" si="8"/>
        <v>522.48400000000004</v>
      </c>
      <c r="AH32" s="150">
        <f t="shared" si="9"/>
        <v>9.0060000000000855</v>
      </c>
      <c r="AI32" s="150">
        <v>-226.11399999999998</v>
      </c>
      <c r="AJ32" s="150">
        <f t="shared" si="10"/>
        <v>305.37600000000015</v>
      </c>
      <c r="AK32" s="150">
        <f t="shared" si="11"/>
        <v>321.68521688634235</v>
      </c>
      <c r="AL32" s="150">
        <f t="shared" si="12"/>
        <v>9.0850000000000009</v>
      </c>
      <c r="AM32" s="150">
        <f t="shared" si="13"/>
        <v>330.77021688634233</v>
      </c>
      <c r="AN32" s="150">
        <f t="shared" si="14"/>
        <v>323.245</v>
      </c>
      <c r="AO32" s="151">
        <f t="shared" si="15"/>
        <v>9.5329999999999995</v>
      </c>
      <c r="AP32" s="138"/>
      <c r="AQ32" s="149">
        <v>0</v>
      </c>
      <c r="AR32" s="151">
        <f t="shared" si="16"/>
        <v>323.245</v>
      </c>
    </row>
    <row r="33" spans="1:44">
      <c r="A33" s="139" t="s">
        <v>83</v>
      </c>
      <c r="B33" s="140">
        <v>10105</v>
      </c>
      <c r="C33" s="141" t="s">
        <v>10</v>
      </c>
      <c r="D33" s="142">
        <v>219</v>
      </c>
      <c r="E33" s="143">
        <v>85.772000000000006</v>
      </c>
      <c r="F33" s="144">
        <v>0</v>
      </c>
      <c r="G33" s="144">
        <v>-0.187</v>
      </c>
      <c r="H33" s="144">
        <v>0</v>
      </c>
      <c r="I33" s="144">
        <v>0</v>
      </c>
      <c r="J33" s="144">
        <f t="shared" si="0"/>
        <v>85.585000000000008</v>
      </c>
      <c r="K33" s="144">
        <v>0.496</v>
      </c>
      <c r="L33" s="145">
        <f t="shared" si="1"/>
        <v>86.081000000000003</v>
      </c>
      <c r="M33" s="143">
        <v>94.37</v>
      </c>
      <c r="N33" s="144">
        <v>0</v>
      </c>
      <c r="O33" s="144">
        <v>-0.498</v>
      </c>
      <c r="P33" s="144">
        <v>0</v>
      </c>
      <c r="Q33" s="144">
        <v>0</v>
      </c>
      <c r="R33" s="144">
        <f t="shared" si="2"/>
        <v>93.872</v>
      </c>
      <c r="S33" s="144">
        <v>0.53700000000000003</v>
      </c>
      <c r="T33" s="145">
        <f t="shared" si="3"/>
        <v>94.409000000000006</v>
      </c>
      <c r="U33" s="146">
        <f t="shared" si="4"/>
        <v>90.245000000000005</v>
      </c>
      <c r="V33" s="143">
        <v>89.182000000000002</v>
      </c>
      <c r="W33" s="144">
        <v>0</v>
      </c>
      <c r="X33" s="144">
        <v>0.19</v>
      </c>
      <c r="Y33" s="144">
        <v>0</v>
      </c>
      <c r="Z33" s="144">
        <v>0</v>
      </c>
      <c r="AA33" s="144">
        <f t="shared" si="5"/>
        <v>89.372</v>
      </c>
      <c r="AB33" s="144">
        <v>1.1140000000000001</v>
      </c>
      <c r="AC33" s="145">
        <f t="shared" si="6"/>
        <v>90.486000000000004</v>
      </c>
      <c r="AD33" s="146">
        <f t="shared" si="7"/>
        <v>0</v>
      </c>
      <c r="AE33" s="146">
        <v>1.8280000000000001</v>
      </c>
      <c r="AF33" s="147"/>
      <c r="AG33" s="143">
        <f t="shared" si="8"/>
        <v>89.372</v>
      </c>
      <c r="AH33" s="144">
        <f t="shared" si="9"/>
        <v>1.8280000000000001</v>
      </c>
      <c r="AI33" s="144">
        <v>0</v>
      </c>
      <c r="AJ33" s="144">
        <f t="shared" si="10"/>
        <v>91.2</v>
      </c>
      <c r="AK33" s="144">
        <f t="shared" si="11"/>
        <v>96.070718655147772</v>
      </c>
      <c r="AL33" s="144">
        <f t="shared" si="12"/>
        <v>1.1140000000000001</v>
      </c>
      <c r="AM33" s="144">
        <f t="shared" si="13"/>
        <v>97.184718655147776</v>
      </c>
      <c r="AN33" s="144">
        <f t="shared" si="14"/>
        <v>94.974000000000004</v>
      </c>
      <c r="AO33" s="145">
        <f t="shared" si="15"/>
        <v>1.9039999999999999</v>
      </c>
      <c r="AP33" s="148"/>
      <c r="AQ33" s="143">
        <v>0</v>
      </c>
      <c r="AR33" s="145">
        <f t="shared" si="16"/>
        <v>94.974000000000004</v>
      </c>
    </row>
    <row r="34" spans="1:44">
      <c r="A34" s="129" t="s">
        <v>84</v>
      </c>
      <c r="B34" s="130">
        <v>10106</v>
      </c>
      <c r="C34" s="131" t="s">
        <v>11</v>
      </c>
      <c r="D34" s="132">
        <v>315</v>
      </c>
      <c r="E34" s="149">
        <v>23.765000000000001</v>
      </c>
      <c r="F34" s="150">
        <v>0</v>
      </c>
      <c r="G34" s="150">
        <v>6.6000000000000003E-2</v>
      </c>
      <c r="H34" s="150">
        <v>0</v>
      </c>
      <c r="I34" s="150">
        <v>0</v>
      </c>
      <c r="J34" s="150">
        <f t="shared" si="0"/>
        <v>23.831</v>
      </c>
      <c r="K34" s="150">
        <v>5.1999999999999998E-2</v>
      </c>
      <c r="L34" s="151">
        <f t="shared" si="1"/>
        <v>23.882999999999999</v>
      </c>
      <c r="M34" s="149">
        <v>23.792999999999999</v>
      </c>
      <c r="N34" s="150">
        <v>0</v>
      </c>
      <c r="O34" s="150">
        <v>-0.18099999999999999</v>
      </c>
      <c r="P34" s="150">
        <v>0</v>
      </c>
      <c r="Q34" s="150">
        <v>0</v>
      </c>
      <c r="R34" s="150">
        <f t="shared" si="2"/>
        <v>23.611999999999998</v>
      </c>
      <c r="S34" s="150">
        <v>0.17799999999999999</v>
      </c>
      <c r="T34" s="151">
        <f t="shared" si="3"/>
        <v>23.79</v>
      </c>
      <c r="U34" s="152">
        <f t="shared" si="4"/>
        <v>23.837</v>
      </c>
      <c r="V34" s="149">
        <v>21.925999999999998</v>
      </c>
      <c r="W34" s="150">
        <v>0</v>
      </c>
      <c r="X34" s="150">
        <v>2.5000000000000001E-2</v>
      </c>
      <c r="Y34" s="150">
        <v>0</v>
      </c>
      <c r="Z34" s="150">
        <v>0</v>
      </c>
      <c r="AA34" s="150">
        <f t="shared" si="5"/>
        <v>21.950999999999997</v>
      </c>
      <c r="AB34" s="150">
        <v>0.29399999999999998</v>
      </c>
      <c r="AC34" s="151">
        <f t="shared" si="6"/>
        <v>22.245000000000001</v>
      </c>
      <c r="AD34" s="152">
        <f t="shared" si="7"/>
        <v>1.5919999999999987</v>
      </c>
      <c r="AE34" s="152">
        <v>0</v>
      </c>
      <c r="AF34" s="137"/>
      <c r="AG34" s="149">
        <f t="shared" si="8"/>
        <v>21.950999999999997</v>
      </c>
      <c r="AH34" s="150">
        <f t="shared" si="9"/>
        <v>1.5919999999999987</v>
      </c>
      <c r="AI34" s="150">
        <v>0</v>
      </c>
      <c r="AJ34" s="150">
        <f t="shared" si="10"/>
        <v>23.542999999999996</v>
      </c>
      <c r="AK34" s="150">
        <f t="shared" si="11"/>
        <v>24.800361066865609</v>
      </c>
      <c r="AL34" s="150">
        <f t="shared" si="12"/>
        <v>0.29399999999999998</v>
      </c>
      <c r="AM34" s="150">
        <f t="shared" si="13"/>
        <v>25.094361066865609</v>
      </c>
      <c r="AN34" s="150">
        <f t="shared" si="14"/>
        <v>24.523</v>
      </c>
      <c r="AO34" s="151">
        <f t="shared" si="15"/>
        <v>1.6579999999999999</v>
      </c>
      <c r="AP34" s="138"/>
      <c r="AQ34" s="149">
        <v>0</v>
      </c>
      <c r="AR34" s="151">
        <f t="shared" si="16"/>
        <v>24.523</v>
      </c>
    </row>
    <row r="35" spans="1:44">
      <c r="A35" s="139" t="s">
        <v>85</v>
      </c>
      <c r="B35" s="140">
        <v>10109</v>
      </c>
      <c r="C35" s="141" t="s">
        <v>251</v>
      </c>
      <c r="D35" s="142">
        <v>318</v>
      </c>
      <c r="E35" s="143">
        <v>11.605</v>
      </c>
      <c r="F35" s="144">
        <v>0</v>
      </c>
      <c r="G35" s="144">
        <v>-5.7000000000000002E-2</v>
      </c>
      <c r="H35" s="144">
        <v>-3.774</v>
      </c>
      <c r="I35" s="144">
        <v>3.629</v>
      </c>
      <c r="J35" s="144">
        <f t="shared" si="0"/>
        <v>11.403</v>
      </c>
      <c r="K35" s="144">
        <v>2E-3</v>
      </c>
      <c r="L35" s="145">
        <f t="shared" si="1"/>
        <v>11.404999999999999</v>
      </c>
      <c r="M35" s="143">
        <v>11.824999999999999</v>
      </c>
      <c r="N35" s="144">
        <v>0</v>
      </c>
      <c r="O35" s="144">
        <v>-9.0999999999999998E-2</v>
      </c>
      <c r="P35" s="144">
        <v>-3.4289999999999998</v>
      </c>
      <c r="Q35" s="144">
        <v>3.6360000000000001</v>
      </c>
      <c r="R35" s="144">
        <f t="shared" si="2"/>
        <v>11.940999999999999</v>
      </c>
      <c r="S35" s="144">
        <v>4.4999999999999998E-2</v>
      </c>
      <c r="T35" s="145">
        <f t="shared" si="3"/>
        <v>11.986000000000001</v>
      </c>
      <c r="U35" s="146">
        <f t="shared" si="4"/>
        <v>11.696</v>
      </c>
      <c r="V35" s="143">
        <v>11.846</v>
      </c>
      <c r="W35" s="144">
        <v>0</v>
      </c>
      <c r="X35" s="144">
        <v>1.2999999999999999E-2</v>
      </c>
      <c r="Y35" s="144">
        <v>-3.7120000000000002</v>
      </c>
      <c r="Z35" s="144">
        <v>3.6389999999999998</v>
      </c>
      <c r="AA35" s="144">
        <f t="shared" si="5"/>
        <v>11.786</v>
      </c>
      <c r="AB35" s="144">
        <v>0.17</v>
      </c>
      <c r="AC35" s="145">
        <f t="shared" si="6"/>
        <v>11.956</v>
      </c>
      <c r="AD35" s="146">
        <f t="shared" si="7"/>
        <v>0</v>
      </c>
      <c r="AE35" s="146">
        <v>0</v>
      </c>
      <c r="AF35" s="147"/>
      <c r="AG35" s="143">
        <f t="shared" si="8"/>
        <v>11.786</v>
      </c>
      <c r="AH35" s="144">
        <f t="shared" si="9"/>
        <v>0</v>
      </c>
      <c r="AI35" s="144">
        <v>0</v>
      </c>
      <c r="AJ35" s="144">
        <f t="shared" si="10"/>
        <v>11.786</v>
      </c>
      <c r="AK35" s="144">
        <f t="shared" si="11"/>
        <v>12.415454934973374</v>
      </c>
      <c r="AL35" s="144">
        <f t="shared" si="12"/>
        <v>0.17</v>
      </c>
      <c r="AM35" s="144">
        <f t="shared" si="13"/>
        <v>12.585454934973374</v>
      </c>
      <c r="AN35" s="144">
        <f t="shared" si="14"/>
        <v>12.298999999999999</v>
      </c>
      <c r="AO35" s="145">
        <f t="shared" si="15"/>
        <v>0</v>
      </c>
      <c r="AP35" s="148"/>
      <c r="AQ35" s="143">
        <v>0</v>
      </c>
      <c r="AR35" s="145">
        <f t="shared" si="16"/>
        <v>12.298999999999999</v>
      </c>
    </row>
    <row r="36" spans="1:44">
      <c r="A36" s="129" t="s">
        <v>86</v>
      </c>
      <c r="B36" s="130">
        <v>10111</v>
      </c>
      <c r="C36" s="131" t="s">
        <v>252</v>
      </c>
      <c r="D36" s="132">
        <v>321</v>
      </c>
      <c r="E36" s="149">
        <v>3.1579999999999999</v>
      </c>
      <c r="F36" s="150">
        <v>0</v>
      </c>
      <c r="G36" s="150">
        <v>-8.9999999999999993E-3</v>
      </c>
      <c r="H36" s="150">
        <v>-0.60299999999999998</v>
      </c>
      <c r="I36" s="150">
        <v>0.61099999999999999</v>
      </c>
      <c r="J36" s="150">
        <f t="shared" si="0"/>
        <v>3.157</v>
      </c>
      <c r="K36" s="150">
        <v>0.01</v>
      </c>
      <c r="L36" s="151">
        <f t="shared" si="1"/>
        <v>3.1669999999999998</v>
      </c>
      <c r="M36" s="149">
        <v>3.1989999999999998</v>
      </c>
      <c r="N36" s="150">
        <v>0</v>
      </c>
      <c r="O36" s="150">
        <v>-4.2000000000000003E-2</v>
      </c>
      <c r="P36" s="150">
        <v>-0.63</v>
      </c>
      <c r="Q36" s="150">
        <v>0.61099999999999999</v>
      </c>
      <c r="R36" s="150">
        <f t="shared" si="2"/>
        <v>3.1379999999999999</v>
      </c>
      <c r="S36" s="150">
        <v>1.4999999999999999E-2</v>
      </c>
      <c r="T36" s="151">
        <f t="shared" si="3"/>
        <v>3.153</v>
      </c>
      <c r="U36" s="152">
        <f t="shared" si="4"/>
        <v>3.16</v>
      </c>
      <c r="V36" s="149">
        <v>3.1040000000000001</v>
      </c>
      <c r="W36" s="150">
        <v>0</v>
      </c>
      <c r="X36" s="150">
        <v>-6.0000000000000001E-3</v>
      </c>
      <c r="Y36" s="150">
        <v>-0.55000000000000004</v>
      </c>
      <c r="Z36" s="150">
        <v>0.61499999999999999</v>
      </c>
      <c r="AA36" s="150">
        <f t="shared" si="5"/>
        <v>3.1630000000000003</v>
      </c>
      <c r="AB36" s="150">
        <v>2.8000000000000001E-2</v>
      </c>
      <c r="AC36" s="151">
        <f t="shared" si="6"/>
        <v>3.1909999999999998</v>
      </c>
      <c r="AD36" s="152">
        <f t="shared" si="7"/>
        <v>0</v>
      </c>
      <c r="AE36" s="152">
        <v>0</v>
      </c>
      <c r="AF36" s="137"/>
      <c r="AG36" s="149">
        <f t="shared" si="8"/>
        <v>3.1630000000000003</v>
      </c>
      <c r="AH36" s="150">
        <f t="shared" si="9"/>
        <v>0</v>
      </c>
      <c r="AI36" s="150">
        <v>0</v>
      </c>
      <c r="AJ36" s="150">
        <f t="shared" si="10"/>
        <v>3.1630000000000003</v>
      </c>
      <c r="AK36" s="150">
        <f t="shared" si="11"/>
        <v>3.3319263498490397</v>
      </c>
      <c r="AL36" s="150">
        <f t="shared" si="12"/>
        <v>2.8000000000000001E-2</v>
      </c>
      <c r="AM36" s="150">
        <f t="shared" si="13"/>
        <v>3.3599263498490397</v>
      </c>
      <c r="AN36" s="150">
        <f t="shared" si="14"/>
        <v>3.2829999999999999</v>
      </c>
      <c r="AO36" s="151">
        <f t="shared" si="15"/>
        <v>0</v>
      </c>
      <c r="AP36" s="138"/>
      <c r="AQ36" s="149">
        <v>0</v>
      </c>
      <c r="AR36" s="151">
        <f t="shared" si="16"/>
        <v>3.2829999999999999</v>
      </c>
    </row>
    <row r="37" spans="1:44">
      <c r="A37" s="139" t="s">
        <v>87</v>
      </c>
      <c r="B37" s="140">
        <v>10113</v>
      </c>
      <c r="C37" s="141" t="s">
        <v>253</v>
      </c>
      <c r="D37" s="142">
        <v>324</v>
      </c>
      <c r="E37" s="143">
        <v>33.46</v>
      </c>
      <c r="F37" s="144">
        <v>0</v>
      </c>
      <c r="G37" s="144">
        <v>-0.13500000000000001</v>
      </c>
      <c r="H37" s="144">
        <v>-19.885999999999999</v>
      </c>
      <c r="I37" s="144">
        <v>20.251000000000001</v>
      </c>
      <c r="J37" s="144">
        <f t="shared" si="0"/>
        <v>33.690000000000005</v>
      </c>
      <c r="K37" s="144">
        <v>7.0000000000000007E-2</v>
      </c>
      <c r="L37" s="145">
        <f t="shared" si="1"/>
        <v>33.76</v>
      </c>
      <c r="M37" s="143">
        <v>34.085999999999999</v>
      </c>
      <c r="N37" s="144">
        <v>0</v>
      </c>
      <c r="O37" s="144">
        <v>0.111</v>
      </c>
      <c r="P37" s="144">
        <v>-20.5</v>
      </c>
      <c r="Q37" s="144">
        <v>20.366</v>
      </c>
      <c r="R37" s="144">
        <f t="shared" si="2"/>
        <v>34.062999999999995</v>
      </c>
      <c r="S37" s="144">
        <v>0.25</v>
      </c>
      <c r="T37" s="145">
        <f t="shared" si="3"/>
        <v>34.313000000000002</v>
      </c>
      <c r="U37" s="146">
        <f t="shared" si="4"/>
        <v>34.036999999999999</v>
      </c>
      <c r="V37" s="143">
        <v>35.151000000000003</v>
      </c>
      <c r="W37" s="144">
        <v>0</v>
      </c>
      <c r="X37" s="144">
        <v>0.17899999999999999</v>
      </c>
      <c r="Y37" s="144">
        <v>-20.056999999999999</v>
      </c>
      <c r="Z37" s="144">
        <v>20.449000000000002</v>
      </c>
      <c r="AA37" s="144">
        <f t="shared" si="5"/>
        <v>35.722000000000008</v>
      </c>
      <c r="AB37" s="144">
        <v>1.516</v>
      </c>
      <c r="AC37" s="145">
        <f t="shared" si="6"/>
        <v>37.238</v>
      </c>
      <c r="AD37" s="146">
        <f t="shared" si="7"/>
        <v>0</v>
      </c>
      <c r="AE37" s="146">
        <v>0</v>
      </c>
      <c r="AF37" s="147"/>
      <c r="AG37" s="143">
        <f t="shared" si="8"/>
        <v>35.722000000000008</v>
      </c>
      <c r="AH37" s="144">
        <f t="shared" si="9"/>
        <v>0</v>
      </c>
      <c r="AI37" s="144">
        <v>0</v>
      </c>
      <c r="AJ37" s="144">
        <f t="shared" si="10"/>
        <v>35.722000000000008</v>
      </c>
      <c r="AK37" s="144">
        <f t="shared" si="11"/>
        <v>37.629804953938482</v>
      </c>
      <c r="AL37" s="144">
        <f t="shared" si="12"/>
        <v>1.516</v>
      </c>
      <c r="AM37" s="144">
        <f t="shared" si="13"/>
        <v>39.14580495393848</v>
      </c>
      <c r="AN37" s="144">
        <f t="shared" si="14"/>
        <v>38.255000000000003</v>
      </c>
      <c r="AO37" s="145">
        <f t="shared" si="15"/>
        <v>0</v>
      </c>
      <c r="AP37" s="148"/>
      <c r="AQ37" s="143">
        <v>0</v>
      </c>
      <c r="AR37" s="145">
        <f t="shared" si="16"/>
        <v>38.255000000000003</v>
      </c>
    </row>
    <row r="38" spans="1:44">
      <c r="A38" s="129" t="s">
        <v>88</v>
      </c>
      <c r="B38" s="130">
        <v>10112</v>
      </c>
      <c r="C38" s="131" t="s">
        <v>12</v>
      </c>
      <c r="D38" s="132">
        <v>221</v>
      </c>
      <c r="E38" s="149">
        <v>59.183</v>
      </c>
      <c r="F38" s="150">
        <v>0</v>
      </c>
      <c r="G38" s="150">
        <v>-4.1000000000000002E-2</v>
      </c>
      <c r="H38" s="150">
        <v>0</v>
      </c>
      <c r="I38" s="150">
        <v>0</v>
      </c>
      <c r="J38" s="150">
        <f t="shared" si="0"/>
        <v>59.142000000000003</v>
      </c>
      <c r="K38" s="150">
        <v>9.5000000000000001E-2</v>
      </c>
      <c r="L38" s="151">
        <f t="shared" si="1"/>
        <v>59.237000000000002</v>
      </c>
      <c r="M38" s="149">
        <v>60.280999999999999</v>
      </c>
      <c r="N38" s="150">
        <v>0</v>
      </c>
      <c r="O38" s="150">
        <v>-0.73199999999999998</v>
      </c>
      <c r="P38" s="150">
        <v>0</v>
      </c>
      <c r="Q38" s="150">
        <v>0</v>
      </c>
      <c r="R38" s="150">
        <f t="shared" si="2"/>
        <v>59.548999999999999</v>
      </c>
      <c r="S38" s="150">
        <v>0.28999999999999998</v>
      </c>
      <c r="T38" s="151">
        <f t="shared" si="3"/>
        <v>59.838999999999999</v>
      </c>
      <c r="U38" s="152">
        <f t="shared" si="4"/>
        <v>59.537999999999997</v>
      </c>
      <c r="V38" s="149">
        <v>53.34</v>
      </c>
      <c r="W38" s="150">
        <v>0</v>
      </c>
      <c r="X38" s="150">
        <v>0.127</v>
      </c>
      <c r="Y38" s="150">
        <v>0</v>
      </c>
      <c r="Z38" s="150">
        <v>0</v>
      </c>
      <c r="AA38" s="150">
        <f t="shared" si="5"/>
        <v>53.467000000000006</v>
      </c>
      <c r="AB38" s="150">
        <v>0.69599999999999995</v>
      </c>
      <c r="AC38" s="151">
        <f t="shared" si="6"/>
        <v>54.162999999999997</v>
      </c>
      <c r="AD38" s="152">
        <f t="shared" si="7"/>
        <v>5.375</v>
      </c>
      <c r="AE38" s="152">
        <v>0</v>
      </c>
      <c r="AF38" s="137"/>
      <c r="AG38" s="149">
        <f t="shared" si="8"/>
        <v>53.467000000000006</v>
      </c>
      <c r="AH38" s="150">
        <f t="shared" si="9"/>
        <v>5.375</v>
      </c>
      <c r="AI38" s="150">
        <v>0</v>
      </c>
      <c r="AJ38" s="150">
        <f t="shared" si="10"/>
        <v>58.842000000000006</v>
      </c>
      <c r="AK38" s="150">
        <f t="shared" si="11"/>
        <v>61.984574858620675</v>
      </c>
      <c r="AL38" s="150">
        <f t="shared" si="12"/>
        <v>0.69599999999999995</v>
      </c>
      <c r="AM38" s="150">
        <f t="shared" si="13"/>
        <v>62.680574858620673</v>
      </c>
      <c r="AN38" s="150">
        <f t="shared" si="14"/>
        <v>61.253999999999998</v>
      </c>
      <c r="AO38" s="151">
        <f t="shared" si="15"/>
        <v>5.5949999999999998</v>
      </c>
      <c r="AP38" s="138"/>
      <c r="AQ38" s="149">
        <v>0</v>
      </c>
      <c r="AR38" s="151">
        <f t="shared" si="16"/>
        <v>61.253999999999998</v>
      </c>
    </row>
    <row r="39" spans="1:44">
      <c r="A39" s="139" t="s">
        <v>89</v>
      </c>
      <c r="B39" s="140">
        <v>10116</v>
      </c>
      <c r="C39" s="141" t="s">
        <v>254</v>
      </c>
      <c r="D39" s="142">
        <v>192</v>
      </c>
      <c r="E39" s="143">
        <v>0.219</v>
      </c>
      <c r="F39" s="144">
        <v>0</v>
      </c>
      <c r="G39" s="144">
        <v>0</v>
      </c>
      <c r="H39" s="144">
        <v>0</v>
      </c>
      <c r="I39" s="144">
        <v>0</v>
      </c>
      <c r="J39" s="144">
        <f t="shared" si="0"/>
        <v>0.219</v>
      </c>
      <c r="K39" s="144">
        <v>0</v>
      </c>
      <c r="L39" s="145">
        <f t="shared" si="1"/>
        <v>0.219</v>
      </c>
      <c r="M39" s="143">
        <v>0.219</v>
      </c>
      <c r="N39" s="144">
        <v>0</v>
      </c>
      <c r="O39" s="144">
        <v>-1E-3</v>
      </c>
      <c r="P39" s="144">
        <v>0</v>
      </c>
      <c r="Q39" s="144">
        <v>0</v>
      </c>
      <c r="R39" s="144">
        <f t="shared" si="2"/>
        <v>0.218</v>
      </c>
      <c r="S39" s="144">
        <v>0</v>
      </c>
      <c r="T39" s="145">
        <f t="shared" si="3"/>
        <v>0.218</v>
      </c>
      <c r="U39" s="146">
        <f t="shared" si="4"/>
        <v>0.219</v>
      </c>
      <c r="V39" s="143">
        <v>0.221</v>
      </c>
      <c r="W39" s="144">
        <v>0</v>
      </c>
      <c r="X39" s="144">
        <v>1E-3</v>
      </c>
      <c r="Y39" s="144">
        <v>0</v>
      </c>
      <c r="Z39" s="144">
        <v>0</v>
      </c>
      <c r="AA39" s="144">
        <f t="shared" si="5"/>
        <v>0.222</v>
      </c>
      <c r="AB39" s="144">
        <v>3.0000000000000001E-3</v>
      </c>
      <c r="AC39" s="145">
        <f t="shared" si="6"/>
        <v>0.22500000000000001</v>
      </c>
      <c r="AD39" s="146">
        <f t="shared" si="7"/>
        <v>0</v>
      </c>
      <c r="AE39" s="146">
        <v>0</v>
      </c>
      <c r="AF39" s="147"/>
      <c r="AG39" s="143">
        <f t="shared" si="8"/>
        <v>0.222</v>
      </c>
      <c r="AH39" s="144">
        <f t="shared" si="9"/>
        <v>0</v>
      </c>
      <c r="AI39" s="144">
        <v>0</v>
      </c>
      <c r="AJ39" s="144">
        <f t="shared" si="10"/>
        <v>0.222</v>
      </c>
      <c r="AK39" s="144">
        <f t="shared" si="11"/>
        <v>0.2338563546210834</v>
      </c>
      <c r="AL39" s="144">
        <f t="shared" si="12"/>
        <v>3.0000000000000001E-3</v>
      </c>
      <c r="AM39" s="144">
        <f t="shared" si="13"/>
        <v>0.2368563546210834</v>
      </c>
      <c r="AN39" s="144">
        <f t="shared" si="14"/>
        <v>0.23100000000000001</v>
      </c>
      <c r="AO39" s="145">
        <f t="shared" si="15"/>
        <v>0</v>
      </c>
      <c r="AP39" s="148"/>
      <c r="AQ39" s="143">
        <v>0</v>
      </c>
      <c r="AR39" s="145">
        <f t="shared" si="16"/>
        <v>0.23100000000000001</v>
      </c>
    </row>
    <row r="40" spans="1:44">
      <c r="A40" s="129" t="s">
        <v>90</v>
      </c>
      <c r="B40" s="130">
        <v>10118</v>
      </c>
      <c r="C40" s="131" t="s">
        <v>255</v>
      </c>
      <c r="D40" s="132">
        <v>327</v>
      </c>
      <c r="E40" s="149">
        <v>47.311999999999998</v>
      </c>
      <c r="F40" s="150">
        <v>0</v>
      </c>
      <c r="G40" s="150">
        <v>-0.36799999999999999</v>
      </c>
      <c r="H40" s="150">
        <v>0</v>
      </c>
      <c r="I40" s="150">
        <v>0</v>
      </c>
      <c r="J40" s="150">
        <f t="shared" si="0"/>
        <v>46.943999999999996</v>
      </c>
      <c r="K40" s="150">
        <v>6.2E-2</v>
      </c>
      <c r="L40" s="151">
        <f t="shared" si="1"/>
        <v>47.006</v>
      </c>
      <c r="M40" s="149">
        <v>49.055999999999997</v>
      </c>
      <c r="N40" s="150">
        <v>0</v>
      </c>
      <c r="O40" s="150">
        <v>-1.661</v>
      </c>
      <c r="P40" s="150">
        <v>0</v>
      </c>
      <c r="Q40" s="150">
        <v>0</v>
      </c>
      <c r="R40" s="150">
        <f t="shared" si="2"/>
        <v>47.394999999999996</v>
      </c>
      <c r="S40" s="150">
        <v>0.18</v>
      </c>
      <c r="T40" s="151">
        <f t="shared" si="3"/>
        <v>47.575000000000003</v>
      </c>
      <c r="U40" s="152">
        <f t="shared" si="4"/>
        <v>47.290999999999997</v>
      </c>
      <c r="V40" s="149">
        <v>46.884</v>
      </c>
      <c r="W40" s="150">
        <v>0</v>
      </c>
      <c r="X40" s="150">
        <v>1.4999999999999999E-2</v>
      </c>
      <c r="Y40" s="150">
        <v>0</v>
      </c>
      <c r="Z40" s="150">
        <v>0</v>
      </c>
      <c r="AA40" s="150">
        <f t="shared" si="5"/>
        <v>46.899000000000001</v>
      </c>
      <c r="AB40" s="150">
        <v>0.622</v>
      </c>
      <c r="AC40" s="151">
        <f t="shared" si="6"/>
        <v>47.521000000000001</v>
      </c>
      <c r="AD40" s="152">
        <f t="shared" si="7"/>
        <v>0</v>
      </c>
      <c r="AE40" s="152">
        <v>0</v>
      </c>
      <c r="AF40" s="137"/>
      <c r="AG40" s="149">
        <f t="shared" si="8"/>
        <v>46.899000000000001</v>
      </c>
      <c r="AH40" s="150">
        <f t="shared" si="9"/>
        <v>0</v>
      </c>
      <c r="AI40" s="150">
        <v>-2.46</v>
      </c>
      <c r="AJ40" s="150">
        <f t="shared" si="10"/>
        <v>44.439</v>
      </c>
      <c r="AK40" s="150">
        <f t="shared" si="11"/>
        <v>46.812353797325791</v>
      </c>
      <c r="AL40" s="150">
        <f t="shared" si="12"/>
        <v>0.622</v>
      </c>
      <c r="AM40" s="150">
        <f t="shared" si="13"/>
        <v>47.434353797325791</v>
      </c>
      <c r="AN40" s="150">
        <f t="shared" si="14"/>
        <v>46.354999999999997</v>
      </c>
      <c r="AO40" s="151">
        <f t="shared" si="15"/>
        <v>0</v>
      </c>
      <c r="AP40" s="138"/>
      <c r="AQ40" s="149">
        <v>0</v>
      </c>
      <c r="AR40" s="151">
        <f t="shared" si="16"/>
        <v>46.354999999999997</v>
      </c>
    </row>
    <row r="41" spans="1:44">
      <c r="A41" s="139" t="s">
        <v>91</v>
      </c>
      <c r="B41" s="140">
        <v>10121</v>
      </c>
      <c r="C41" s="141" t="s">
        <v>13</v>
      </c>
      <c r="D41" s="142">
        <v>330</v>
      </c>
      <c r="E41" s="143">
        <v>40.874000000000002</v>
      </c>
      <c r="F41" s="144">
        <v>0</v>
      </c>
      <c r="G41" s="144">
        <v>-0.91900000000000004</v>
      </c>
      <c r="H41" s="144">
        <v>0</v>
      </c>
      <c r="I41" s="144">
        <v>0</v>
      </c>
      <c r="J41" s="144">
        <f t="shared" si="0"/>
        <v>39.955000000000005</v>
      </c>
      <c r="K41" s="144">
        <v>8.7999999999999995E-2</v>
      </c>
      <c r="L41" s="145">
        <f t="shared" si="1"/>
        <v>40.042999999999999</v>
      </c>
      <c r="M41" s="143">
        <v>42.206000000000003</v>
      </c>
      <c r="N41" s="144">
        <v>0</v>
      </c>
      <c r="O41" s="144">
        <v>-1.8819999999999999</v>
      </c>
      <c r="P41" s="144">
        <v>0</v>
      </c>
      <c r="Q41" s="144">
        <v>0</v>
      </c>
      <c r="R41" s="144">
        <f t="shared" si="2"/>
        <v>40.324000000000005</v>
      </c>
      <c r="S41" s="144">
        <v>0.28299999999999997</v>
      </c>
      <c r="T41" s="145">
        <f t="shared" si="3"/>
        <v>40.606999999999999</v>
      </c>
      <c r="U41" s="146">
        <f t="shared" si="4"/>
        <v>40.325000000000003</v>
      </c>
      <c r="V41" s="143">
        <v>40.256999999999998</v>
      </c>
      <c r="W41" s="144">
        <v>0</v>
      </c>
      <c r="X41" s="144">
        <v>-0.54200000000000004</v>
      </c>
      <c r="Y41" s="144">
        <v>0</v>
      </c>
      <c r="Z41" s="144">
        <v>0</v>
      </c>
      <c r="AA41" s="144">
        <f t="shared" si="5"/>
        <v>39.714999999999996</v>
      </c>
      <c r="AB41" s="144">
        <v>0.51900000000000002</v>
      </c>
      <c r="AC41" s="145">
        <f t="shared" si="6"/>
        <v>40.234000000000002</v>
      </c>
      <c r="AD41" s="146">
        <f t="shared" si="7"/>
        <v>9.100000000000108E-2</v>
      </c>
      <c r="AE41" s="146">
        <v>0</v>
      </c>
      <c r="AF41" s="147"/>
      <c r="AG41" s="143">
        <f t="shared" si="8"/>
        <v>39.714999999999996</v>
      </c>
      <c r="AH41" s="144">
        <f t="shared" si="9"/>
        <v>9.100000000000108E-2</v>
      </c>
      <c r="AI41" s="144">
        <v>0</v>
      </c>
      <c r="AJ41" s="144">
        <f t="shared" si="10"/>
        <v>39.805999999999997</v>
      </c>
      <c r="AK41" s="144">
        <f t="shared" si="11"/>
        <v>41.93191915336417</v>
      </c>
      <c r="AL41" s="144">
        <f t="shared" si="12"/>
        <v>0.51900000000000002</v>
      </c>
      <c r="AM41" s="144">
        <f t="shared" si="13"/>
        <v>42.450919153364168</v>
      </c>
      <c r="AN41" s="144">
        <f t="shared" si="14"/>
        <v>41.484999999999999</v>
      </c>
      <c r="AO41" s="145">
        <f t="shared" si="15"/>
        <v>9.5000000000000001E-2</v>
      </c>
      <c r="AP41" s="148"/>
      <c r="AQ41" s="143">
        <v>0</v>
      </c>
      <c r="AR41" s="145">
        <f t="shared" si="16"/>
        <v>41.484999999999999</v>
      </c>
    </row>
    <row r="42" spans="1:44">
      <c r="A42" s="129" t="s">
        <v>92</v>
      </c>
      <c r="B42" s="130">
        <v>10378</v>
      </c>
      <c r="C42" s="131" t="s">
        <v>14</v>
      </c>
      <c r="D42" s="132">
        <v>125</v>
      </c>
      <c r="E42" s="149">
        <v>2.137</v>
      </c>
      <c r="F42" s="150">
        <v>0</v>
      </c>
      <c r="G42" s="150">
        <v>-8.3000000000000004E-2</v>
      </c>
      <c r="H42" s="150">
        <v>0</v>
      </c>
      <c r="I42" s="150">
        <v>0</v>
      </c>
      <c r="J42" s="150">
        <f t="shared" si="0"/>
        <v>2.0539999999999998</v>
      </c>
      <c r="K42" s="150">
        <v>6.0000000000000001E-3</v>
      </c>
      <c r="L42" s="151">
        <f t="shared" si="1"/>
        <v>2.06</v>
      </c>
      <c r="M42" s="149">
        <v>2.077</v>
      </c>
      <c r="N42" s="150">
        <v>0</v>
      </c>
      <c r="O42" s="150">
        <v>-0.153</v>
      </c>
      <c r="P42" s="150">
        <v>0</v>
      </c>
      <c r="Q42" s="150">
        <v>0</v>
      </c>
      <c r="R42" s="150">
        <f t="shared" si="2"/>
        <v>1.9239999999999999</v>
      </c>
      <c r="S42" s="150">
        <v>1.0999999999999999E-2</v>
      </c>
      <c r="T42" s="151">
        <f t="shared" si="3"/>
        <v>1.9350000000000001</v>
      </c>
      <c r="U42" s="152">
        <f t="shared" si="4"/>
        <v>1.998</v>
      </c>
      <c r="V42" s="149">
        <v>1.948</v>
      </c>
      <c r="W42" s="150">
        <v>0</v>
      </c>
      <c r="X42" s="150">
        <v>-1.2E-2</v>
      </c>
      <c r="Y42" s="150">
        <v>0</v>
      </c>
      <c r="Z42" s="150">
        <v>0</v>
      </c>
      <c r="AA42" s="150">
        <f t="shared" si="5"/>
        <v>1.9359999999999999</v>
      </c>
      <c r="AB42" s="150">
        <v>3.3000000000000002E-2</v>
      </c>
      <c r="AC42" s="151">
        <f t="shared" si="6"/>
        <v>1.9690000000000001</v>
      </c>
      <c r="AD42" s="152">
        <f t="shared" si="7"/>
        <v>2.8999999999999915E-2</v>
      </c>
      <c r="AE42" s="152">
        <v>0</v>
      </c>
      <c r="AF42" s="137"/>
      <c r="AG42" s="149">
        <f t="shared" si="8"/>
        <v>1.9359999999999999</v>
      </c>
      <c r="AH42" s="150">
        <f t="shared" si="9"/>
        <v>2.8999999999999915E-2</v>
      </c>
      <c r="AI42" s="150">
        <v>0</v>
      </c>
      <c r="AJ42" s="150">
        <f t="shared" si="10"/>
        <v>1.9649999999999999</v>
      </c>
      <c r="AK42" s="150">
        <f t="shared" si="11"/>
        <v>2.0699447604974273</v>
      </c>
      <c r="AL42" s="150">
        <f t="shared" si="12"/>
        <v>3.3000000000000002E-2</v>
      </c>
      <c r="AM42" s="150">
        <f t="shared" si="13"/>
        <v>2.1029447604974272</v>
      </c>
      <c r="AN42" s="150">
        <f t="shared" si="14"/>
        <v>2.0550000000000002</v>
      </c>
      <c r="AO42" s="151">
        <f t="shared" si="15"/>
        <v>0.03</v>
      </c>
      <c r="AP42" s="138"/>
      <c r="AQ42" s="149">
        <v>0</v>
      </c>
      <c r="AR42" s="151">
        <f t="shared" si="16"/>
        <v>2.0550000000000002</v>
      </c>
    </row>
    <row r="43" spans="1:44">
      <c r="A43" s="139" t="s">
        <v>93</v>
      </c>
      <c r="B43" s="140">
        <v>10123</v>
      </c>
      <c r="C43" s="141" t="s">
        <v>15</v>
      </c>
      <c r="D43" s="142">
        <v>222</v>
      </c>
      <c r="E43" s="143">
        <v>575.92999999999995</v>
      </c>
      <c r="F43" s="144">
        <v>-18.378</v>
      </c>
      <c r="G43" s="144">
        <v>-1.1060000000000001</v>
      </c>
      <c r="H43" s="144">
        <v>0</v>
      </c>
      <c r="I43" s="144">
        <v>0</v>
      </c>
      <c r="J43" s="144">
        <f t="shared" si="0"/>
        <v>556.44599999999991</v>
      </c>
      <c r="K43" s="144">
        <v>1.3120000000000001</v>
      </c>
      <c r="L43" s="145">
        <f t="shared" si="1"/>
        <v>557.75800000000004</v>
      </c>
      <c r="M43" s="143">
        <v>584.70899999999995</v>
      </c>
      <c r="N43" s="144">
        <v>-20.396999999999998</v>
      </c>
      <c r="O43" s="144">
        <v>-4.2329999999999997</v>
      </c>
      <c r="P43" s="144">
        <v>0</v>
      </c>
      <c r="Q43" s="144">
        <v>0</v>
      </c>
      <c r="R43" s="144">
        <f t="shared" si="2"/>
        <v>560.07899999999995</v>
      </c>
      <c r="S43" s="144">
        <v>2.3479999999999999</v>
      </c>
      <c r="T43" s="145">
        <f t="shared" si="3"/>
        <v>562.42700000000002</v>
      </c>
      <c r="U43" s="146">
        <f t="shared" si="4"/>
        <v>560.09299999999996</v>
      </c>
      <c r="V43" s="143">
        <v>576.59400000000005</v>
      </c>
      <c r="W43" s="144">
        <v>-23.859000000000002</v>
      </c>
      <c r="X43" s="144">
        <v>1.2250000000000001</v>
      </c>
      <c r="Y43" s="144">
        <v>0</v>
      </c>
      <c r="Z43" s="144">
        <v>0</v>
      </c>
      <c r="AA43" s="144">
        <f t="shared" si="5"/>
        <v>553.96</v>
      </c>
      <c r="AB43" s="144">
        <v>7.7149999999999999</v>
      </c>
      <c r="AC43" s="145">
        <f t="shared" si="6"/>
        <v>561.67499999999995</v>
      </c>
      <c r="AD43" s="146">
        <f t="shared" si="7"/>
        <v>0</v>
      </c>
      <c r="AE43" s="146">
        <v>0</v>
      </c>
      <c r="AF43" s="147"/>
      <c r="AG43" s="143">
        <f t="shared" si="8"/>
        <v>553.96</v>
      </c>
      <c r="AH43" s="144">
        <f t="shared" si="9"/>
        <v>0</v>
      </c>
      <c r="AI43" s="144">
        <v>-19.832000000000001</v>
      </c>
      <c r="AJ43" s="144">
        <f t="shared" si="10"/>
        <v>534.12800000000004</v>
      </c>
      <c r="AK43" s="144">
        <f t="shared" si="11"/>
        <v>562.6541755903155</v>
      </c>
      <c r="AL43" s="144">
        <f t="shared" si="12"/>
        <v>7.7149999999999999</v>
      </c>
      <c r="AM43" s="144">
        <f t="shared" si="13"/>
        <v>570.36917559031554</v>
      </c>
      <c r="AN43" s="144">
        <f t="shared" si="14"/>
        <v>557.39200000000005</v>
      </c>
      <c r="AO43" s="145">
        <f t="shared" si="15"/>
        <v>0</v>
      </c>
      <c r="AP43" s="148"/>
      <c r="AQ43" s="143">
        <v>0</v>
      </c>
      <c r="AR43" s="145">
        <f t="shared" si="16"/>
        <v>557.39200000000005</v>
      </c>
    </row>
    <row r="44" spans="1:44">
      <c r="A44" s="129" t="s">
        <v>94</v>
      </c>
      <c r="B44" s="130">
        <v>10070</v>
      </c>
      <c r="C44" s="131" t="s">
        <v>16</v>
      </c>
      <c r="D44" s="132">
        <v>127</v>
      </c>
      <c r="E44" s="149">
        <v>0.34499999999999997</v>
      </c>
      <c r="F44" s="150">
        <v>0</v>
      </c>
      <c r="G44" s="150">
        <v>-1E-3</v>
      </c>
      <c r="H44" s="150">
        <v>0</v>
      </c>
      <c r="I44" s="150">
        <v>0</v>
      </c>
      <c r="J44" s="150">
        <f t="shared" si="0"/>
        <v>0.34399999999999997</v>
      </c>
      <c r="K44" s="150">
        <v>0</v>
      </c>
      <c r="L44" s="151">
        <f t="shared" si="1"/>
        <v>0.34399999999999997</v>
      </c>
      <c r="M44" s="149">
        <v>0.36799999999999999</v>
      </c>
      <c r="N44" s="150">
        <v>0</v>
      </c>
      <c r="O44" s="150">
        <v>-6.0000000000000001E-3</v>
      </c>
      <c r="P44" s="150">
        <v>0</v>
      </c>
      <c r="Q44" s="150">
        <v>0</v>
      </c>
      <c r="R44" s="150">
        <f t="shared" si="2"/>
        <v>0.36199999999999999</v>
      </c>
      <c r="S44" s="150">
        <v>1E-3</v>
      </c>
      <c r="T44" s="151">
        <f t="shared" si="3"/>
        <v>0.36299999999999999</v>
      </c>
      <c r="U44" s="152">
        <f t="shared" si="4"/>
        <v>0.35399999999999998</v>
      </c>
      <c r="V44" s="149">
        <v>0.34599999999999997</v>
      </c>
      <c r="W44" s="150">
        <v>0</v>
      </c>
      <c r="X44" s="150">
        <v>-3.0000000000000001E-3</v>
      </c>
      <c r="Y44" s="150">
        <v>0</v>
      </c>
      <c r="Z44" s="150">
        <v>0</v>
      </c>
      <c r="AA44" s="150">
        <f t="shared" si="5"/>
        <v>0.34299999999999997</v>
      </c>
      <c r="AB44" s="150">
        <v>4.0000000000000001E-3</v>
      </c>
      <c r="AC44" s="151">
        <f t="shared" si="6"/>
        <v>0.34699999999999998</v>
      </c>
      <c r="AD44" s="152">
        <f t="shared" si="7"/>
        <v>7.0000000000000062E-3</v>
      </c>
      <c r="AE44" s="152">
        <v>0</v>
      </c>
      <c r="AF44" s="137"/>
      <c r="AG44" s="149">
        <f t="shared" si="8"/>
        <v>0.34299999999999997</v>
      </c>
      <c r="AH44" s="150">
        <f t="shared" si="9"/>
        <v>7.0000000000000062E-3</v>
      </c>
      <c r="AI44" s="150">
        <v>0</v>
      </c>
      <c r="AJ44" s="150">
        <f t="shared" si="10"/>
        <v>0.35</v>
      </c>
      <c r="AK44" s="150">
        <f t="shared" si="11"/>
        <v>0.36869245097918552</v>
      </c>
      <c r="AL44" s="150">
        <f t="shared" si="12"/>
        <v>4.0000000000000001E-3</v>
      </c>
      <c r="AM44" s="150">
        <f t="shared" si="13"/>
        <v>0.37269245097918552</v>
      </c>
      <c r="AN44" s="150">
        <f t="shared" si="14"/>
        <v>0.36399999999999999</v>
      </c>
      <c r="AO44" s="151">
        <f t="shared" si="15"/>
        <v>7.0000000000000001E-3</v>
      </c>
      <c r="AP44" s="138"/>
      <c r="AQ44" s="149">
        <v>0</v>
      </c>
      <c r="AR44" s="151">
        <f t="shared" si="16"/>
        <v>0.36399999999999999</v>
      </c>
    </row>
    <row r="45" spans="1:44">
      <c r="A45" s="139" t="s">
        <v>95</v>
      </c>
      <c r="B45" s="140">
        <v>10136</v>
      </c>
      <c r="C45" s="141" t="s">
        <v>17</v>
      </c>
      <c r="D45" s="142">
        <v>333</v>
      </c>
      <c r="E45" s="143">
        <v>18.669</v>
      </c>
      <c r="F45" s="144">
        <v>0</v>
      </c>
      <c r="G45" s="144">
        <v>2.7E-2</v>
      </c>
      <c r="H45" s="144">
        <v>0</v>
      </c>
      <c r="I45" s="144">
        <v>0</v>
      </c>
      <c r="J45" s="144">
        <f t="shared" si="0"/>
        <v>18.696000000000002</v>
      </c>
      <c r="K45" s="144">
        <v>5.0000000000000001E-3</v>
      </c>
      <c r="L45" s="145">
        <f t="shared" si="1"/>
        <v>18.701000000000001</v>
      </c>
      <c r="M45" s="143">
        <v>19.111000000000001</v>
      </c>
      <c r="N45" s="144">
        <v>0</v>
      </c>
      <c r="O45" s="144">
        <v>-0.34</v>
      </c>
      <c r="P45" s="144">
        <v>0</v>
      </c>
      <c r="Q45" s="144">
        <v>0</v>
      </c>
      <c r="R45" s="144">
        <f t="shared" si="2"/>
        <v>18.771000000000001</v>
      </c>
      <c r="S45" s="144">
        <v>2.1999999999999999E-2</v>
      </c>
      <c r="T45" s="145">
        <f t="shared" si="3"/>
        <v>18.792999999999999</v>
      </c>
      <c r="U45" s="146">
        <f t="shared" si="4"/>
        <v>18.747</v>
      </c>
      <c r="V45" s="143">
        <v>18.09</v>
      </c>
      <c r="W45" s="144">
        <v>0</v>
      </c>
      <c r="X45" s="144">
        <v>-9.7000000000000003E-2</v>
      </c>
      <c r="Y45" s="144">
        <v>0</v>
      </c>
      <c r="Z45" s="144">
        <v>0</v>
      </c>
      <c r="AA45" s="144">
        <f t="shared" si="5"/>
        <v>17.992999999999999</v>
      </c>
      <c r="AB45" s="144">
        <v>0.152</v>
      </c>
      <c r="AC45" s="145">
        <f t="shared" si="6"/>
        <v>18.145</v>
      </c>
      <c r="AD45" s="146">
        <f t="shared" si="7"/>
        <v>0.60200000000000031</v>
      </c>
      <c r="AE45" s="146">
        <v>0</v>
      </c>
      <c r="AF45" s="147"/>
      <c r="AG45" s="143">
        <f t="shared" si="8"/>
        <v>17.992999999999999</v>
      </c>
      <c r="AH45" s="144">
        <f t="shared" si="9"/>
        <v>0.60200000000000031</v>
      </c>
      <c r="AI45" s="144">
        <v>0</v>
      </c>
      <c r="AJ45" s="144">
        <f t="shared" si="10"/>
        <v>18.594999999999999</v>
      </c>
      <c r="AK45" s="144">
        <f t="shared" si="11"/>
        <v>19.588103217022727</v>
      </c>
      <c r="AL45" s="144">
        <f t="shared" si="12"/>
        <v>0.152</v>
      </c>
      <c r="AM45" s="144">
        <f t="shared" si="13"/>
        <v>19.740103217022728</v>
      </c>
      <c r="AN45" s="144">
        <f t="shared" si="14"/>
        <v>19.291</v>
      </c>
      <c r="AO45" s="145">
        <f t="shared" si="15"/>
        <v>0.625</v>
      </c>
      <c r="AP45" s="148"/>
      <c r="AQ45" s="143">
        <v>0</v>
      </c>
      <c r="AR45" s="145">
        <f t="shared" si="16"/>
        <v>19.291</v>
      </c>
    </row>
    <row r="46" spans="1:44">
      <c r="A46" s="129" t="s">
        <v>96</v>
      </c>
      <c r="B46" s="130">
        <v>10071</v>
      </c>
      <c r="C46" s="131" t="s">
        <v>18</v>
      </c>
      <c r="D46" s="132">
        <v>128</v>
      </c>
      <c r="E46" s="149">
        <v>2.4209999999999998</v>
      </c>
      <c r="F46" s="150">
        <v>0</v>
      </c>
      <c r="G46" s="150">
        <v>-1.2E-2</v>
      </c>
      <c r="H46" s="150">
        <v>0</v>
      </c>
      <c r="I46" s="150">
        <v>0</v>
      </c>
      <c r="J46" s="150">
        <f t="shared" si="0"/>
        <v>2.4089999999999998</v>
      </c>
      <c r="K46" s="150">
        <v>2E-3</v>
      </c>
      <c r="L46" s="151">
        <f t="shared" si="1"/>
        <v>2.411</v>
      </c>
      <c r="M46" s="149">
        <v>2.4510000000000001</v>
      </c>
      <c r="N46" s="150">
        <v>0</v>
      </c>
      <c r="O46" s="150">
        <v>-0.06</v>
      </c>
      <c r="P46" s="150">
        <v>0</v>
      </c>
      <c r="Q46" s="150">
        <v>0</v>
      </c>
      <c r="R46" s="150">
        <f t="shared" si="2"/>
        <v>2.391</v>
      </c>
      <c r="S46" s="150">
        <v>1.4999999999999999E-2</v>
      </c>
      <c r="T46" s="151">
        <f t="shared" si="3"/>
        <v>2.4060000000000001</v>
      </c>
      <c r="U46" s="152">
        <f t="shared" si="4"/>
        <v>2.4089999999999998</v>
      </c>
      <c r="V46" s="149">
        <v>1.82</v>
      </c>
      <c r="W46" s="150">
        <v>0</v>
      </c>
      <c r="X46" s="150">
        <v>-3.0000000000000001E-3</v>
      </c>
      <c r="Y46" s="150">
        <v>0</v>
      </c>
      <c r="Z46" s="150">
        <v>0</v>
      </c>
      <c r="AA46" s="150">
        <f t="shared" si="5"/>
        <v>1.8170000000000002</v>
      </c>
      <c r="AB46" s="150">
        <v>2.4E-2</v>
      </c>
      <c r="AC46" s="151">
        <f t="shared" si="6"/>
        <v>1.841</v>
      </c>
      <c r="AD46" s="152">
        <f t="shared" si="7"/>
        <v>0.56799999999999984</v>
      </c>
      <c r="AE46" s="152">
        <v>0</v>
      </c>
      <c r="AF46" s="137"/>
      <c r="AG46" s="149">
        <f t="shared" si="8"/>
        <v>1.8170000000000002</v>
      </c>
      <c r="AH46" s="150">
        <f t="shared" si="9"/>
        <v>0.56799999999999984</v>
      </c>
      <c r="AI46" s="150">
        <v>0</v>
      </c>
      <c r="AJ46" s="150">
        <f t="shared" si="10"/>
        <v>2.3849999999999998</v>
      </c>
      <c r="AK46" s="150">
        <f t="shared" si="11"/>
        <v>2.5123757016724499</v>
      </c>
      <c r="AL46" s="150">
        <f t="shared" si="12"/>
        <v>2.4E-2</v>
      </c>
      <c r="AM46" s="150">
        <f t="shared" si="13"/>
        <v>2.53637570167245</v>
      </c>
      <c r="AN46" s="150">
        <f t="shared" si="14"/>
        <v>2.4790000000000001</v>
      </c>
      <c r="AO46" s="151">
        <f t="shared" si="15"/>
        <v>0.59</v>
      </c>
      <c r="AP46" s="138"/>
      <c r="AQ46" s="149">
        <v>0</v>
      </c>
      <c r="AR46" s="151">
        <f t="shared" si="16"/>
        <v>2.4790000000000001</v>
      </c>
    </row>
    <row r="47" spans="1:44">
      <c r="A47" s="139" t="s">
        <v>97</v>
      </c>
      <c r="B47" s="140">
        <v>10142</v>
      </c>
      <c r="C47" s="141" t="s">
        <v>256</v>
      </c>
      <c r="D47" s="142">
        <v>335</v>
      </c>
      <c r="E47" s="143">
        <v>2.4849999999999999</v>
      </c>
      <c r="F47" s="144">
        <v>0</v>
      </c>
      <c r="G47" s="144">
        <v>-8.9999999999999993E-3</v>
      </c>
      <c r="H47" s="144">
        <v>-0.91400000000000003</v>
      </c>
      <c r="I47" s="144">
        <v>0.85699999999999998</v>
      </c>
      <c r="J47" s="144">
        <f t="shared" si="0"/>
        <v>2.4189999999999996</v>
      </c>
      <c r="K47" s="144">
        <v>3.0000000000000001E-3</v>
      </c>
      <c r="L47" s="145">
        <f t="shared" si="1"/>
        <v>2.4220000000000002</v>
      </c>
      <c r="M47" s="143">
        <v>2.6429999999999998</v>
      </c>
      <c r="N47" s="144">
        <v>0</v>
      </c>
      <c r="O47" s="144">
        <v>-2.1999999999999999E-2</v>
      </c>
      <c r="P47" s="144">
        <v>-0.94299999999999995</v>
      </c>
      <c r="Q47" s="144">
        <v>0.86299999999999999</v>
      </c>
      <c r="R47" s="144">
        <f t="shared" si="2"/>
        <v>2.5409999999999999</v>
      </c>
      <c r="S47" s="144">
        <v>3.0000000000000001E-3</v>
      </c>
      <c r="T47" s="145">
        <f t="shared" si="3"/>
        <v>2.544</v>
      </c>
      <c r="U47" s="146">
        <f t="shared" si="4"/>
        <v>2.4830000000000001</v>
      </c>
      <c r="V47" s="143">
        <v>2.5640000000000001</v>
      </c>
      <c r="W47" s="144">
        <v>0</v>
      </c>
      <c r="X47" s="144">
        <v>1E-3</v>
      </c>
      <c r="Y47" s="144">
        <v>-0.81399999999999995</v>
      </c>
      <c r="Z47" s="144">
        <v>0.89</v>
      </c>
      <c r="AA47" s="144">
        <f t="shared" si="5"/>
        <v>2.641</v>
      </c>
      <c r="AB47" s="144">
        <v>8.0000000000000002E-3</v>
      </c>
      <c r="AC47" s="145">
        <f t="shared" si="6"/>
        <v>2.649</v>
      </c>
      <c r="AD47" s="146">
        <f t="shared" si="7"/>
        <v>0</v>
      </c>
      <c r="AE47" s="146">
        <v>0</v>
      </c>
      <c r="AF47" s="147"/>
      <c r="AG47" s="143">
        <f t="shared" si="8"/>
        <v>2.641</v>
      </c>
      <c r="AH47" s="144">
        <f t="shared" si="9"/>
        <v>0</v>
      </c>
      <c r="AI47" s="144">
        <v>0</v>
      </c>
      <c r="AJ47" s="144">
        <f t="shared" si="10"/>
        <v>2.641</v>
      </c>
      <c r="AK47" s="144">
        <f t="shared" si="11"/>
        <v>2.7820478943886542</v>
      </c>
      <c r="AL47" s="144">
        <f t="shared" si="12"/>
        <v>8.0000000000000002E-3</v>
      </c>
      <c r="AM47" s="144">
        <f t="shared" si="13"/>
        <v>2.7900478943886542</v>
      </c>
      <c r="AN47" s="144">
        <f t="shared" si="14"/>
        <v>2.7269999999999999</v>
      </c>
      <c r="AO47" s="145">
        <f t="shared" si="15"/>
        <v>0</v>
      </c>
      <c r="AP47" s="148"/>
      <c r="AQ47" s="143">
        <v>0</v>
      </c>
      <c r="AR47" s="145">
        <f t="shared" si="16"/>
        <v>2.7269999999999999</v>
      </c>
    </row>
    <row r="48" spans="1:44">
      <c r="A48" s="129" t="s">
        <v>98</v>
      </c>
      <c r="B48" s="130">
        <v>10144</v>
      </c>
      <c r="C48" s="131" t="s">
        <v>257</v>
      </c>
      <c r="D48" s="132">
        <v>131</v>
      </c>
      <c r="E48" s="149">
        <v>3.2730000000000001</v>
      </c>
      <c r="F48" s="150">
        <v>0</v>
      </c>
      <c r="G48" s="150">
        <v>-4.5999999999999999E-2</v>
      </c>
      <c r="H48" s="150">
        <v>0</v>
      </c>
      <c r="I48" s="150">
        <v>0</v>
      </c>
      <c r="J48" s="150">
        <f t="shared" si="0"/>
        <v>3.2270000000000003</v>
      </c>
      <c r="K48" s="150">
        <v>0</v>
      </c>
      <c r="L48" s="151">
        <f t="shared" si="1"/>
        <v>3.2269999999999999</v>
      </c>
      <c r="M48" s="149">
        <v>3.294</v>
      </c>
      <c r="N48" s="150">
        <v>0</v>
      </c>
      <c r="O48" s="150">
        <v>-0.13600000000000001</v>
      </c>
      <c r="P48" s="150">
        <v>0</v>
      </c>
      <c r="Q48" s="150">
        <v>0</v>
      </c>
      <c r="R48" s="150">
        <f t="shared" si="2"/>
        <v>3.1579999999999999</v>
      </c>
      <c r="S48" s="150">
        <v>0</v>
      </c>
      <c r="T48" s="151">
        <f t="shared" si="3"/>
        <v>3.1579999999999999</v>
      </c>
      <c r="U48" s="152">
        <f t="shared" si="4"/>
        <v>3.1930000000000001</v>
      </c>
      <c r="V48" s="149">
        <v>3.2730000000000001</v>
      </c>
      <c r="W48" s="150">
        <v>0</v>
      </c>
      <c r="X48" s="150">
        <v>4.7E-2</v>
      </c>
      <c r="Y48" s="150">
        <v>0</v>
      </c>
      <c r="Z48" s="150">
        <v>0</v>
      </c>
      <c r="AA48" s="150">
        <f t="shared" si="5"/>
        <v>3.3200000000000003</v>
      </c>
      <c r="AB48" s="150">
        <v>0</v>
      </c>
      <c r="AC48" s="151">
        <f t="shared" si="6"/>
        <v>3.32</v>
      </c>
      <c r="AD48" s="152">
        <f t="shared" si="7"/>
        <v>0</v>
      </c>
      <c r="AE48" s="152">
        <v>0</v>
      </c>
      <c r="AF48" s="137"/>
      <c r="AG48" s="149">
        <f t="shared" si="8"/>
        <v>3.3200000000000003</v>
      </c>
      <c r="AH48" s="150">
        <f t="shared" si="9"/>
        <v>0</v>
      </c>
      <c r="AI48" s="150">
        <v>0</v>
      </c>
      <c r="AJ48" s="150">
        <f t="shared" si="10"/>
        <v>3.3200000000000003</v>
      </c>
      <c r="AK48" s="150">
        <f t="shared" si="11"/>
        <v>3.4973112492882747</v>
      </c>
      <c r="AL48" s="150">
        <f t="shared" si="12"/>
        <v>0</v>
      </c>
      <c r="AM48" s="150">
        <f t="shared" si="13"/>
        <v>3.4973112492882747</v>
      </c>
      <c r="AN48" s="150">
        <f t="shared" si="14"/>
        <v>3.4180000000000001</v>
      </c>
      <c r="AO48" s="151">
        <f t="shared" si="15"/>
        <v>0</v>
      </c>
      <c r="AP48" s="138"/>
      <c r="AQ48" s="149">
        <v>0</v>
      </c>
      <c r="AR48" s="151">
        <f t="shared" si="16"/>
        <v>3.4180000000000001</v>
      </c>
    </row>
    <row r="49" spans="1:44">
      <c r="A49" s="139" t="s">
        <v>99</v>
      </c>
      <c r="B49" s="140">
        <v>10072</v>
      </c>
      <c r="C49" s="141" t="s">
        <v>19</v>
      </c>
      <c r="D49" s="142">
        <v>133</v>
      </c>
      <c r="E49" s="143">
        <v>23.678000000000001</v>
      </c>
      <c r="F49" s="144">
        <v>0</v>
      </c>
      <c r="G49" s="144">
        <v>-0.22500000000000001</v>
      </c>
      <c r="H49" s="144">
        <v>0</v>
      </c>
      <c r="I49" s="144">
        <v>0</v>
      </c>
      <c r="J49" s="144">
        <f t="shared" si="0"/>
        <v>23.452999999999999</v>
      </c>
      <c r="K49" s="144">
        <v>5.5E-2</v>
      </c>
      <c r="L49" s="145">
        <f t="shared" si="1"/>
        <v>23.507999999999999</v>
      </c>
      <c r="M49" s="143">
        <v>23.937999999999999</v>
      </c>
      <c r="N49" s="144">
        <v>0</v>
      </c>
      <c r="O49" s="144">
        <v>-0.224</v>
      </c>
      <c r="P49" s="144">
        <v>0</v>
      </c>
      <c r="Q49" s="144">
        <v>0</v>
      </c>
      <c r="R49" s="144">
        <f t="shared" si="2"/>
        <v>23.713999999999999</v>
      </c>
      <c r="S49" s="144">
        <v>9.6000000000000002E-2</v>
      </c>
      <c r="T49" s="145">
        <f t="shared" si="3"/>
        <v>23.81</v>
      </c>
      <c r="U49" s="146">
        <f t="shared" si="4"/>
        <v>23.658999999999999</v>
      </c>
      <c r="V49" s="143">
        <v>23.187000000000001</v>
      </c>
      <c r="W49" s="144">
        <v>0</v>
      </c>
      <c r="X49" s="144">
        <v>4.9000000000000002E-2</v>
      </c>
      <c r="Y49" s="144">
        <v>0</v>
      </c>
      <c r="Z49" s="144">
        <v>0</v>
      </c>
      <c r="AA49" s="144">
        <f t="shared" si="5"/>
        <v>23.236000000000001</v>
      </c>
      <c r="AB49" s="144">
        <v>0.29899999999999999</v>
      </c>
      <c r="AC49" s="145">
        <f t="shared" si="6"/>
        <v>23.535</v>
      </c>
      <c r="AD49" s="146">
        <f t="shared" si="7"/>
        <v>0.12399999999999878</v>
      </c>
      <c r="AE49" s="146">
        <v>0</v>
      </c>
      <c r="AF49" s="147"/>
      <c r="AG49" s="143">
        <f t="shared" si="8"/>
        <v>23.236000000000001</v>
      </c>
      <c r="AH49" s="144">
        <f t="shared" si="9"/>
        <v>0.12399999999999878</v>
      </c>
      <c r="AI49" s="144">
        <v>0</v>
      </c>
      <c r="AJ49" s="144">
        <f t="shared" si="10"/>
        <v>23.36</v>
      </c>
      <c r="AK49" s="144">
        <f t="shared" si="11"/>
        <v>24.607587585353638</v>
      </c>
      <c r="AL49" s="144">
        <f t="shared" si="12"/>
        <v>0.29899999999999999</v>
      </c>
      <c r="AM49" s="144">
        <f t="shared" si="13"/>
        <v>24.906587585353638</v>
      </c>
      <c r="AN49" s="144">
        <f t="shared" si="14"/>
        <v>24.34</v>
      </c>
      <c r="AO49" s="145">
        <f t="shared" si="15"/>
        <v>0.129</v>
      </c>
      <c r="AP49" s="148"/>
      <c r="AQ49" s="143">
        <v>0</v>
      </c>
      <c r="AR49" s="145">
        <f t="shared" si="16"/>
        <v>24.34</v>
      </c>
    </row>
    <row r="50" spans="1:44">
      <c r="A50" s="129" t="s">
        <v>100</v>
      </c>
      <c r="B50" s="130">
        <v>10156</v>
      </c>
      <c r="C50" s="131" t="s">
        <v>258</v>
      </c>
      <c r="D50" s="132">
        <v>334</v>
      </c>
      <c r="E50" s="149">
        <v>31.265000000000001</v>
      </c>
      <c r="F50" s="150">
        <v>0</v>
      </c>
      <c r="G50" s="150">
        <v>-0.42199999999999999</v>
      </c>
      <c r="H50" s="150">
        <v>0</v>
      </c>
      <c r="I50" s="150">
        <v>0</v>
      </c>
      <c r="J50" s="150">
        <f t="shared" si="0"/>
        <v>30.843</v>
      </c>
      <c r="K50" s="150">
        <v>3.0000000000000001E-3</v>
      </c>
      <c r="L50" s="151">
        <f t="shared" si="1"/>
        <v>30.846</v>
      </c>
      <c r="M50" s="149">
        <v>32.835000000000001</v>
      </c>
      <c r="N50" s="150">
        <v>0</v>
      </c>
      <c r="O50" s="150">
        <v>-1.2310000000000001</v>
      </c>
      <c r="P50" s="150">
        <v>0</v>
      </c>
      <c r="Q50" s="150">
        <v>0</v>
      </c>
      <c r="R50" s="150">
        <f t="shared" si="2"/>
        <v>31.603999999999999</v>
      </c>
      <c r="S50" s="150">
        <v>4.9000000000000002E-2</v>
      </c>
      <c r="T50" s="151">
        <f t="shared" si="3"/>
        <v>31.652999999999999</v>
      </c>
      <c r="U50" s="152">
        <f t="shared" si="4"/>
        <v>31.25</v>
      </c>
      <c r="V50" s="149">
        <v>31.05</v>
      </c>
      <c r="W50" s="150">
        <v>0</v>
      </c>
      <c r="X50" s="150">
        <v>0.39800000000000002</v>
      </c>
      <c r="Y50" s="150">
        <v>0</v>
      </c>
      <c r="Z50" s="150">
        <v>0</v>
      </c>
      <c r="AA50" s="150">
        <f t="shared" si="5"/>
        <v>31.448</v>
      </c>
      <c r="AB50" s="150">
        <v>0.35299999999999998</v>
      </c>
      <c r="AC50" s="151">
        <f t="shared" si="6"/>
        <v>31.800999999999998</v>
      </c>
      <c r="AD50" s="152">
        <f t="shared" si="7"/>
        <v>0</v>
      </c>
      <c r="AE50" s="152">
        <v>0</v>
      </c>
      <c r="AF50" s="137"/>
      <c r="AG50" s="149">
        <f t="shared" si="8"/>
        <v>31.448</v>
      </c>
      <c r="AH50" s="150">
        <f t="shared" si="9"/>
        <v>0</v>
      </c>
      <c r="AI50" s="150">
        <v>0</v>
      </c>
      <c r="AJ50" s="150">
        <f t="shared" si="10"/>
        <v>31.448</v>
      </c>
      <c r="AK50" s="150">
        <f t="shared" si="11"/>
        <v>33.127543423981223</v>
      </c>
      <c r="AL50" s="150">
        <f t="shared" si="12"/>
        <v>0.35299999999999998</v>
      </c>
      <c r="AM50" s="150">
        <f t="shared" si="13"/>
        <v>33.480543423981224</v>
      </c>
      <c r="AN50" s="150">
        <f t="shared" si="14"/>
        <v>32.719000000000001</v>
      </c>
      <c r="AO50" s="151">
        <f t="shared" si="15"/>
        <v>0</v>
      </c>
      <c r="AP50" s="138"/>
      <c r="AQ50" s="149">
        <v>0</v>
      </c>
      <c r="AR50" s="151">
        <f t="shared" si="16"/>
        <v>32.719000000000001</v>
      </c>
    </row>
    <row r="51" spans="1:44">
      <c r="A51" s="139" t="s">
        <v>101</v>
      </c>
      <c r="B51" s="140">
        <v>10157</v>
      </c>
      <c r="C51" s="141" t="s">
        <v>20</v>
      </c>
      <c r="D51" s="142">
        <v>229</v>
      </c>
      <c r="E51" s="143">
        <v>93.055000000000007</v>
      </c>
      <c r="F51" s="144">
        <v>-38.537999999999997</v>
      </c>
      <c r="G51" s="144">
        <v>-0.308</v>
      </c>
      <c r="H51" s="144">
        <v>0</v>
      </c>
      <c r="I51" s="144">
        <v>0</v>
      </c>
      <c r="J51" s="144">
        <f t="shared" si="0"/>
        <v>54.20900000000001</v>
      </c>
      <c r="K51" s="144">
        <v>0.13900000000000001</v>
      </c>
      <c r="L51" s="145">
        <f t="shared" si="1"/>
        <v>54.347999999999999</v>
      </c>
      <c r="M51" s="143">
        <v>91.39</v>
      </c>
      <c r="N51" s="144">
        <v>-37.146000000000001</v>
      </c>
      <c r="O51" s="144">
        <v>-1.609</v>
      </c>
      <c r="P51" s="144">
        <v>0</v>
      </c>
      <c r="Q51" s="144">
        <v>0</v>
      </c>
      <c r="R51" s="144">
        <f t="shared" si="2"/>
        <v>52.634999999999998</v>
      </c>
      <c r="S51" s="144">
        <v>0.39</v>
      </c>
      <c r="T51" s="145">
        <f t="shared" si="3"/>
        <v>53.024999999999999</v>
      </c>
      <c r="U51" s="146">
        <f t="shared" si="4"/>
        <v>53.686999999999998</v>
      </c>
      <c r="V51" s="143">
        <v>88.367000000000004</v>
      </c>
      <c r="W51" s="144">
        <v>-37.93</v>
      </c>
      <c r="X51" s="144">
        <v>-2.5000000000000001E-2</v>
      </c>
      <c r="Y51" s="144">
        <v>0</v>
      </c>
      <c r="Z51" s="144">
        <v>0</v>
      </c>
      <c r="AA51" s="144">
        <f t="shared" si="5"/>
        <v>50.412000000000006</v>
      </c>
      <c r="AB51" s="144">
        <v>0.86099999999999999</v>
      </c>
      <c r="AC51" s="145">
        <f t="shared" si="6"/>
        <v>51.273000000000003</v>
      </c>
      <c r="AD51" s="146">
        <f t="shared" si="7"/>
        <v>2.4139999999999944</v>
      </c>
      <c r="AE51" s="146">
        <v>0</v>
      </c>
      <c r="AF51" s="147"/>
      <c r="AG51" s="143">
        <f t="shared" si="8"/>
        <v>50.412000000000006</v>
      </c>
      <c r="AH51" s="144">
        <f t="shared" si="9"/>
        <v>2.4139999999999944</v>
      </c>
      <c r="AI51" s="144">
        <v>-1.9379999999999999</v>
      </c>
      <c r="AJ51" s="144">
        <f t="shared" si="10"/>
        <v>50.887999999999998</v>
      </c>
      <c r="AK51" s="144">
        <f t="shared" si="11"/>
        <v>53.605775558367981</v>
      </c>
      <c r="AL51" s="144">
        <f t="shared" si="12"/>
        <v>0.86099999999999999</v>
      </c>
      <c r="AM51" s="144">
        <f t="shared" si="13"/>
        <v>54.466775558367978</v>
      </c>
      <c r="AN51" s="144">
        <f t="shared" si="14"/>
        <v>53.228000000000002</v>
      </c>
      <c r="AO51" s="145">
        <f t="shared" si="15"/>
        <v>2.5249999999999999</v>
      </c>
      <c r="AP51" s="148"/>
      <c r="AQ51" s="143">
        <v>0</v>
      </c>
      <c r="AR51" s="145">
        <f t="shared" si="16"/>
        <v>53.228000000000002</v>
      </c>
    </row>
    <row r="52" spans="1:44">
      <c r="A52" s="129" t="s">
        <v>102</v>
      </c>
      <c r="B52" s="130">
        <v>10158</v>
      </c>
      <c r="C52" s="131" t="s">
        <v>21</v>
      </c>
      <c r="D52" s="132">
        <v>195</v>
      </c>
      <c r="E52" s="149">
        <v>2.9550000000000001</v>
      </c>
      <c r="F52" s="150">
        <v>0</v>
      </c>
      <c r="G52" s="150">
        <v>-2.1000000000000001E-2</v>
      </c>
      <c r="H52" s="150">
        <v>0</v>
      </c>
      <c r="I52" s="150">
        <v>0</v>
      </c>
      <c r="J52" s="150">
        <f t="shared" si="0"/>
        <v>2.9340000000000002</v>
      </c>
      <c r="K52" s="150">
        <v>0</v>
      </c>
      <c r="L52" s="151">
        <f t="shared" si="1"/>
        <v>2.9340000000000002</v>
      </c>
      <c r="M52" s="149">
        <v>2.7429999999999999</v>
      </c>
      <c r="N52" s="150">
        <v>0</v>
      </c>
      <c r="O52" s="150">
        <v>-2.1000000000000001E-2</v>
      </c>
      <c r="P52" s="150">
        <v>0</v>
      </c>
      <c r="Q52" s="150">
        <v>0</v>
      </c>
      <c r="R52" s="150">
        <f t="shared" si="2"/>
        <v>2.722</v>
      </c>
      <c r="S52" s="150">
        <v>0</v>
      </c>
      <c r="T52" s="151">
        <f t="shared" si="3"/>
        <v>2.722</v>
      </c>
      <c r="U52" s="152">
        <f t="shared" si="4"/>
        <v>2.8279999999999998</v>
      </c>
      <c r="V52" s="149">
        <v>2.7389999999999999</v>
      </c>
      <c r="W52" s="150">
        <v>0</v>
      </c>
      <c r="X52" s="150">
        <v>-4.0000000000000001E-3</v>
      </c>
      <c r="Y52" s="150">
        <v>0</v>
      </c>
      <c r="Z52" s="150">
        <v>0</v>
      </c>
      <c r="AA52" s="150">
        <f t="shared" si="5"/>
        <v>2.7349999999999999</v>
      </c>
      <c r="AB52" s="150">
        <v>1.9E-2</v>
      </c>
      <c r="AC52" s="151">
        <f t="shared" si="6"/>
        <v>2.754</v>
      </c>
      <c r="AD52" s="152">
        <f t="shared" si="7"/>
        <v>7.3999999999999844E-2</v>
      </c>
      <c r="AE52" s="152">
        <v>0</v>
      </c>
      <c r="AF52" s="137"/>
      <c r="AG52" s="149">
        <f t="shared" si="8"/>
        <v>2.7349999999999999</v>
      </c>
      <c r="AH52" s="150">
        <f t="shared" si="9"/>
        <v>7.3999999999999844E-2</v>
      </c>
      <c r="AI52" s="150">
        <v>0</v>
      </c>
      <c r="AJ52" s="150">
        <f t="shared" si="10"/>
        <v>2.8089999999999997</v>
      </c>
      <c r="AK52" s="150">
        <f t="shared" si="11"/>
        <v>2.9590202708586633</v>
      </c>
      <c r="AL52" s="150">
        <f t="shared" si="12"/>
        <v>1.9E-2</v>
      </c>
      <c r="AM52" s="150">
        <f t="shared" si="13"/>
        <v>2.9780202708586634</v>
      </c>
      <c r="AN52" s="150">
        <f t="shared" si="14"/>
        <v>2.91</v>
      </c>
      <c r="AO52" s="151">
        <f t="shared" si="15"/>
        <v>7.6999999999999999E-2</v>
      </c>
      <c r="AP52" s="138"/>
      <c r="AQ52" s="149">
        <v>0</v>
      </c>
      <c r="AR52" s="151">
        <f t="shared" si="16"/>
        <v>2.91</v>
      </c>
    </row>
    <row r="53" spans="1:44">
      <c r="A53" s="139" t="s">
        <v>103</v>
      </c>
      <c r="B53" s="140">
        <v>10170</v>
      </c>
      <c r="C53" s="141" t="s">
        <v>22</v>
      </c>
      <c r="D53" s="142">
        <v>137</v>
      </c>
      <c r="E53" s="143">
        <v>318.14100000000002</v>
      </c>
      <c r="F53" s="144">
        <v>-25.312999999999999</v>
      </c>
      <c r="G53" s="144">
        <v>-1.5389999999999999</v>
      </c>
      <c r="H53" s="144">
        <v>0</v>
      </c>
      <c r="I53" s="144">
        <v>0</v>
      </c>
      <c r="J53" s="144">
        <f t="shared" si="0"/>
        <v>291.28900000000004</v>
      </c>
      <c r="K53" s="144">
        <v>1.038</v>
      </c>
      <c r="L53" s="145">
        <f t="shared" si="1"/>
        <v>292.327</v>
      </c>
      <c r="M53" s="143">
        <v>318.59899999999999</v>
      </c>
      <c r="N53" s="144">
        <v>-22.132000000000001</v>
      </c>
      <c r="O53" s="144">
        <v>-6.7690000000000001</v>
      </c>
      <c r="P53" s="144">
        <v>0</v>
      </c>
      <c r="Q53" s="144">
        <v>0</v>
      </c>
      <c r="R53" s="144">
        <f t="shared" si="2"/>
        <v>289.69799999999998</v>
      </c>
      <c r="S53" s="144">
        <v>4.431</v>
      </c>
      <c r="T53" s="145">
        <f t="shared" si="3"/>
        <v>294.12900000000002</v>
      </c>
      <c r="U53" s="146">
        <f t="shared" si="4"/>
        <v>293.22800000000001</v>
      </c>
      <c r="V53" s="143">
        <v>281.70400000000001</v>
      </c>
      <c r="W53" s="144">
        <v>-2.2130000000000001</v>
      </c>
      <c r="X53" s="144">
        <v>0.20599999999999999</v>
      </c>
      <c r="Y53" s="144">
        <v>0</v>
      </c>
      <c r="Z53" s="144">
        <v>0</v>
      </c>
      <c r="AA53" s="144">
        <f t="shared" si="5"/>
        <v>279.697</v>
      </c>
      <c r="AB53" s="144">
        <v>9.3330000000000002</v>
      </c>
      <c r="AC53" s="145">
        <f t="shared" si="6"/>
        <v>289.02999999999997</v>
      </c>
      <c r="AD53" s="146">
        <f t="shared" si="7"/>
        <v>4.1980000000000359</v>
      </c>
      <c r="AE53" s="146">
        <v>0</v>
      </c>
      <c r="AF53" s="147"/>
      <c r="AG53" s="143">
        <f t="shared" si="8"/>
        <v>279.697</v>
      </c>
      <c r="AH53" s="144">
        <f t="shared" si="9"/>
        <v>4.1980000000000359</v>
      </c>
      <c r="AI53" s="144">
        <v>-45.2</v>
      </c>
      <c r="AJ53" s="144">
        <f t="shared" si="10"/>
        <v>238.69500000000005</v>
      </c>
      <c r="AK53" s="144">
        <f t="shared" si="11"/>
        <v>251.4429845327906</v>
      </c>
      <c r="AL53" s="144">
        <f t="shared" si="12"/>
        <v>9.3330000000000002</v>
      </c>
      <c r="AM53" s="144">
        <f t="shared" si="13"/>
        <v>260.77598453279063</v>
      </c>
      <c r="AN53" s="144">
        <f t="shared" si="14"/>
        <v>254.84299999999999</v>
      </c>
      <c r="AO53" s="145">
        <f t="shared" si="15"/>
        <v>4.4820000000000002</v>
      </c>
      <c r="AP53" s="148"/>
      <c r="AQ53" s="143">
        <v>0</v>
      </c>
      <c r="AR53" s="145">
        <f t="shared" si="16"/>
        <v>254.84299999999999</v>
      </c>
    </row>
    <row r="54" spans="1:44">
      <c r="A54" s="129" t="s">
        <v>104</v>
      </c>
      <c r="B54" s="130">
        <v>10172</v>
      </c>
      <c r="C54" s="131" t="s">
        <v>23</v>
      </c>
      <c r="D54" s="132">
        <v>430</v>
      </c>
      <c r="E54" s="149">
        <v>7.3730000000000002</v>
      </c>
      <c r="F54" s="150">
        <v>0</v>
      </c>
      <c r="G54" s="150">
        <v>-4.4999999999999998E-2</v>
      </c>
      <c r="H54" s="150">
        <v>0</v>
      </c>
      <c r="I54" s="150">
        <v>0</v>
      </c>
      <c r="J54" s="150">
        <f t="shared" si="0"/>
        <v>7.3280000000000003</v>
      </c>
      <c r="K54" s="150">
        <v>7.0000000000000001E-3</v>
      </c>
      <c r="L54" s="151">
        <f t="shared" si="1"/>
        <v>7.335</v>
      </c>
      <c r="M54" s="149">
        <v>7.0759999999999996</v>
      </c>
      <c r="N54" s="150">
        <v>0</v>
      </c>
      <c r="O54" s="150">
        <v>-3.5000000000000003E-2</v>
      </c>
      <c r="P54" s="150">
        <v>0</v>
      </c>
      <c r="Q54" s="150">
        <v>0</v>
      </c>
      <c r="R54" s="150">
        <f t="shared" si="2"/>
        <v>7.0409999999999995</v>
      </c>
      <c r="S54" s="150">
        <v>7.0000000000000001E-3</v>
      </c>
      <c r="T54" s="151">
        <f t="shared" si="3"/>
        <v>7.048</v>
      </c>
      <c r="U54" s="152">
        <f t="shared" si="4"/>
        <v>7.1920000000000002</v>
      </c>
      <c r="V54" s="149">
        <v>5.98</v>
      </c>
      <c r="W54" s="150">
        <v>0</v>
      </c>
      <c r="X54" s="150">
        <v>1.6E-2</v>
      </c>
      <c r="Y54" s="150">
        <v>0</v>
      </c>
      <c r="Z54" s="150">
        <v>0</v>
      </c>
      <c r="AA54" s="150">
        <f t="shared" si="5"/>
        <v>5.9960000000000004</v>
      </c>
      <c r="AB54" s="150">
        <v>2.5000000000000001E-2</v>
      </c>
      <c r="AC54" s="151">
        <f t="shared" si="6"/>
        <v>6.0209999999999999</v>
      </c>
      <c r="AD54" s="152">
        <f t="shared" si="7"/>
        <v>1.1710000000000003</v>
      </c>
      <c r="AE54" s="152">
        <v>0</v>
      </c>
      <c r="AF54" s="137"/>
      <c r="AG54" s="149">
        <f t="shared" si="8"/>
        <v>5.9960000000000004</v>
      </c>
      <c r="AH54" s="150">
        <f t="shared" si="9"/>
        <v>1.1710000000000003</v>
      </c>
      <c r="AI54" s="150">
        <v>0</v>
      </c>
      <c r="AJ54" s="150">
        <f t="shared" si="10"/>
        <v>7.1670000000000007</v>
      </c>
      <c r="AK54" s="150">
        <f t="shared" si="11"/>
        <v>7.5497679890509231</v>
      </c>
      <c r="AL54" s="150">
        <f t="shared" si="12"/>
        <v>2.5000000000000001E-2</v>
      </c>
      <c r="AM54" s="150">
        <f t="shared" si="13"/>
        <v>7.5747679890509234</v>
      </c>
      <c r="AN54" s="150">
        <f t="shared" si="14"/>
        <v>7.4020000000000001</v>
      </c>
      <c r="AO54" s="151">
        <f t="shared" si="15"/>
        <v>1.2090000000000001</v>
      </c>
      <c r="AP54" s="138"/>
      <c r="AQ54" s="149">
        <v>0</v>
      </c>
      <c r="AR54" s="151">
        <f t="shared" si="16"/>
        <v>7.4020000000000001</v>
      </c>
    </row>
    <row r="55" spans="1:44">
      <c r="A55" s="139" t="s">
        <v>259</v>
      </c>
      <c r="B55" s="140">
        <v>10173</v>
      </c>
      <c r="C55" s="141" t="s">
        <v>260</v>
      </c>
      <c r="D55" s="142">
        <v>337</v>
      </c>
      <c r="E55" s="143">
        <v>33.079000000000001</v>
      </c>
      <c r="F55" s="144">
        <v>0</v>
      </c>
      <c r="G55" s="144">
        <v>-0.183</v>
      </c>
      <c r="H55" s="144">
        <v>-6.2140000000000004</v>
      </c>
      <c r="I55" s="144">
        <v>5.0339999999999998</v>
      </c>
      <c r="J55" s="144">
        <f t="shared" si="0"/>
        <v>31.716000000000001</v>
      </c>
      <c r="K55" s="144">
        <v>1.7999999999999999E-2</v>
      </c>
      <c r="L55" s="145">
        <f t="shared" si="1"/>
        <v>31.734000000000002</v>
      </c>
      <c r="M55" s="143">
        <v>35.027999999999999</v>
      </c>
      <c r="N55" s="144">
        <v>0</v>
      </c>
      <c r="O55" s="144">
        <v>-0.35199999999999998</v>
      </c>
      <c r="P55" s="144">
        <v>-5.3719999999999999</v>
      </c>
      <c r="Q55" s="144">
        <v>5.0339999999999998</v>
      </c>
      <c r="R55" s="144">
        <f t="shared" si="2"/>
        <v>34.338000000000001</v>
      </c>
      <c r="S55" s="144">
        <v>5.6000000000000001E-2</v>
      </c>
      <c r="T55" s="145">
        <f t="shared" si="3"/>
        <v>34.393999999999998</v>
      </c>
      <c r="U55" s="146">
        <f t="shared" si="4"/>
        <v>33.064</v>
      </c>
      <c r="V55" s="143">
        <v>34.463999999999999</v>
      </c>
      <c r="W55" s="144">
        <v>0</v>
      </c>
      <c r="X55" s="144">
        <v>-0.217</v>
      </c>
      <c r="Y55" s="144">
        <v>-4.71</v>
      </c>
      <c r="Z55" s="144">
        <v>5.1360000000000001</v>
      </c>
      <c r="AA55" s="144">
        <f t="shared" si="5"/>
        <v>34.673000000000002</v>
      </c>
      <c r="AB55" s="144">
        <v>0.39100000000000001</v>
      </c>
      <c r="AC55" s="145">
        <f t="shared" si="6"/>
        <v>35.064</v>
      </c>
      <c r="AD55" s="146">
        <f t="shared" si="7"/>
        <v>0</v>
      </c>
      <c r="AE55" s="146">
        <v>0</v>
      </c>
      <c r="AF55" s="147"/>
      <c r="AG55" s="143">
        <f t="shared" si="8"/>
        <v>34.673000000000002</v>
      </c>
      <c r="AH55" s="144">
        <f t="shared" si="9"/>
        <v>0</v>
      </c>
      <c r="AI55" s="144">
        <v>-2.3820000000000001</v>
      </c>
      <c r="AJ55" s="144">
        <f t="shared" si="10"/>
        <v>32.291000000000004</v>
      </c>
      <c r="AK55" s="144">
        <f t="shared" si="11"/>
        <v>34.01556552733966</v>
      </c>
      <c r="AL55" s="144">
        <f t="shared" si="12"/>
        <v>0.39100000000000001</v>
      </c>
      <c r="AM55" s="144">
        <f t="shared" si="13"/>
        <v>34.406565527339659</v>
      </c>
      <c r="AN55" s="144">
        <f t="shared" si="14"/>
        <v>33.624000000000002</v>
      </c>
      <c r="AO55" s="145">
        <f t="shared" si="15"/>
        <v>0</v>
      </c>
      <c r="AP55" s="148"/>
      <c r="AQ55" s="143">
        <v>0</v>
      </c>
      <c r="AR55" s="145">
        <f t="shared" si="16"/>
        <v>33.624000000000002</v>
      </c>
    </row>
    <row r="56" spans="1:44">
      <c r="A56" s="129" t="s">
        <v>261</v>
      </c>
      <c r="B56" s="130">
        <v>10174</v>
      </c>
      <c r="C56" s="131" t="s">
        <v>262</v>
      </c>
      <c r="D56" s="132">
        <v>338</v>
      </c>
      <c r="E56" s="149">
        <v>0.48699999999999999</v>
      </c>
      <c r="F56" s="150">
        <v>0</v>
      </c>
      <c r="G56" s="150">
        <v>-2E-3</v>
      </c>
      <c r="H56" s="150">
        <v>0</v>
      </c>
      <c r="I56" s="150">
        <v>0</v>
      </c>
      <c r="J56" s="150">
        <f t="shared" si="0"/>
        <v>0.48499999999999999</v>
      </c>
      <c r="K56" s="150">
        <v>0</v>
      </c>
      <c r="L56" s="151">
        <f t="shared" si="1"/>
        <v>0.48499999999999999</v>
      </c>
      <c r="M56" s="149">
        <v>0.52500000000000002</v>
      </c>
      <c r="N56" s="150">
        <v>0</v>
      </c>
      <c r="O56" s="150">
        <v>-1.2E-2</v>
      </c>
      <c r="P56" s="150">
        <v>0</v>
      </c>
      <c r="Q56" s="150">
        <v>0</v>
      </c>
      <c r="R56" s="150">
        <f t="shared" si="2"/>
        <v>0.51300000000000001</v>
      </c>
      <c r="S56" s="150">
        <v>1E-3</v>
      </c>
      <c r="T56" s="151">
        <f t="shared" si="3"/>
        <v>0.51400000000000001</v>
      </c>
      <c r="U56" s="152">
        <f t="shared" si="4"/>
        <v>0.5</v>
      </c>
      <c r="V56" s="149">
        <v>0.505</v>
      </c>
      <c r="W56" s="150">
        <v>0</v>
      </c>
      <c r="X56" s="150">
        <v>-7.0000000000000001E-3</v>
      </c>
      <c r="Y56" s="150">
        <v>0</v>
      </c>
      <c r="Z56" s="150">
        <v>0</v>
      </c>
      <c r="AA56" s="150">
        <f t="shared" si="5"/>
        <v>0.498</v>
      </c>
      <c r="AB56" s="150">
        <v>2E-3</v>
      </c>
      <c r="AC56" s="151">
        <f t="shared" si="6"/>
        <v>0.5</v>
      </c>
      <c r="AD56" s="152">
        <f t="shared" si="7"/>
        <v>0</v>
      </c>
      <c r="AE56" s="152">
        <v>0</v>
      </c>
      <c r="AF56" s="137"/>
      <c r="AG56" s="149">
        <f t="shared" si="8"/>
        <v>0.498</v>
      </c>
      <c r="AH56" s="150">
        <f t="shared" si="9"/>
        <v>0</v>
      </c>
      <c r="AI56" s="150">
        <v>0</v>
      </c>
      <c r="AJ56" s="150">
        <f t="shared" si="10"/>
        <v>0.498</v>
      </c>
      <c r="AK56" s="150">
        <f t="shared" si="11"/>
        <v>0.52459668739324117</v>
      </c>
      <c r="AL56" s="150">
        <f t="shared" si="12"/>
        <v>2E-3</v>
      </c>
      <c r="AM56" s="150">
        <f t="shared" si="13"/>
        <v>0.52659668739324117</v>
      </c>
      <c r="AN56" s="150">
        <f t="shared" si="14"/>
        <v>0.51500000000000001</v>
      </c>
      <c r="AO56" s="151">
        <f t="shared" si="15"/>
        <v>0</v>
      </c>
      <c r="AP56" s="138"/>
      <c r="AQ56" s="149">
        <v>0</v>
      </c>
      <c r="AR56" s="151">
        <f t="shared" si="16"/>
        <v>0.51500000000000001</v>
      </c>
    </row>
    <row r="57" spans="1:44">
      <c r="A57" s="139" t="s">
        <v>263</v>
      </c>
      <c r="B57" s="140">
        <v>10177</v>
      </c>
      <c r="C57" s="141" t="s">
        <v>264</v>
      </c>
      <c r="D57" s="142">
        <v>230</v>
      </c>
      <c r="E57" s="143">
        <v>7.9980000000000002</v>
      </c>
      <c r="F57" s="144">
        <v>0</v>
      </c>
      <c r="G57" s="144">
        <v>-0.216</v>
      </c>
      <c r="H57" s="144">
        <v>0</v>
      </c>
      <c r="I57" s="144">
        <v>0</v>
      </c>
      <c r="J57" s="144">
        <f t="shared" si="0"/>
        <v>7.782</v>
      </c>
      <c r="K57" s="144">
        <v>1.9E-2</v>
      </c>
      <c r="L57" s="145">
        <f t="shared" si="1"/>
        <v>7.8010000000000002</v>
      </c>
      <c r="M57" s="143">
        <v>7.8049999999999997</v>
      </c>
      <c r="N57" s="144">
        <v>0</v>
      </c>
      <c r="O57" s="144">
        <v>-0.436</v>
      </c>
      <c r="P57" s="144">
        <v>0</v>
      </c>
      <c r="Q57" s="144">
        <v>0</v>
      </c>
      <c r="R57" s="144">
        <f t="shared" si="2"/>
        <v>7.3689999999999998</v>
      </c>
      <c r="S57" s="144">
        <v>3.3000000000000002E-2</v>
      </c>
      <c r="T57" s="145">
        <f t="shared" si="3"/>
        <v>7.4020000000000001</v>
      </c>
      <c r="U57" s="146">
        <f t="shared" si="4"/>
        <v>7.6020000000000003</v>
      </c>
      <c r="V57" s="143">
        <v>11.529</v>
      </c>
      <c r="W57" s="144">
        <v>0</v>
      </c>
      <c r="X57" s="144">
        <v>-6.6000000000000003E-2</v>
      </c>
      <c r="Y57" s="144">
        <v>0</v>
      </c>
      <c r="Z57" s="144">
        <v>0</v>
      </c>
      <c r="AA57" s="144">
        <f t="shared" si="5"/>
        <v>11.462999999999999</v>
      </c>
      <c r="AB57" s="144">
        <v>0.109</v>
      </c>
      <c r="AC57" s="145">
        <f t="shared" si="6"/>
        <v>11.571999999999999</v>
      </c>
      <c r="AD57" s="146">
        <f t="shared" si="7"/>
        <v>0</v>
      </c>
      <c r="AE57" s="146">
        <v>0</v>
      </c>
      <c r="AF57" s="147"/>
      <c r="AG57" s="143">
        <f t="shared" si="8"/>
        <v>11.462999999999999</v>
      </c>
      <c r="AH57" s="144">
        <f t="shared" si="9"/>
        <v>0</v>
      </c>
      <c r="AI57" s="144">
        <v>-6.6000000000000003E-2</v>
      </c>
      <c r="AJ57" s="144">
        <f t="shared" si="10"/>
        <v>11.396999999999998</v>
      </c>
      <c r="AK57" s="144">
        <f t="shared" si="11"/>
        <v>12.005679610885077</v>
      </c>
      <c r="AL57" s="144">
        <f t="shared" si="12"/>
        <v>0.109</v>
      </c>
      <c r="AM57" s="144">
        <f t="shared" si="13"/>
        <v>12.114679610885076</v>
      </c>
      <c r="AN57" s="144">
        <f t="shared" si="14"/>
        <v>11.839</v>
      </c>
      <c r="AO57" s="145">
        <f t="shared" si="15"/>
        <v>0</v>
      </c>
      <c r="AP57" s="148"/>
      <c r="AQ57" s="143">
        <v>0</v>
      </c>
      <c r="AR57" s="145">
        <f t="shared" si="16"/>
        <v>11.839</v>
      </c>
    </row>
    <row r="58" spans="1:44">
      <c r="A58" s="129" t="s">
        <v>265</v>
      </c>
      <c r="B58" s="130">
        <v>10179</v>
      </c>
      <c r="C58" s="131" t="s">
        <v>24</v>
      </c>
      <c r="D58" s="132">
        <v>339</v>
      </c>
      <c r="E58" s="149">
        <v>168.322</v>
      </c>
      <c r="F58" s="150">
        <v>0</v>
      </c>
      <c r="G58" s="150">
        <v>-0.32800000000000001</v>
      </c>
      <c r="H58" s="150">
        <v>0</v>
      </c>
      <c r="I58" s="150">
        <v>0</v>
      </c>
      <c r="J58" s="150">
        <f t="shared" si="0"/>
        <v>167.994</v>
      </c>
      <c r="K58" s="150">
        <v>0.32800000000000001</v>
      </c>
      <c r="L58" s="151">
        <f t="shared" si="1"/>
        <v>168.322</v>
      </c>
      <c r="M58" s="149">
        <v>170.96</v>
      </c>
      <c r="N58" s="150">
        <v>0</v>
      </c>
      <c r="O58" s="150">
        <v>0.63800000000000001</v>
      </c>
      <c r="P58" s="150">
        <v>0</v>
      </c>
      <c r="Q58" s="150">
        <v>0</v>
      </c>
      <c r="R58" s="150">
        <f t="shared" si="2"/>
        <v>171.59800000000001</v>
      </c>
      <c r="S58" s="150">
        <v>0.79100000000000004</v>
      </c>
      <c r="T58" s="151">
        <f t="shared" si="3"/>
        <v>172.38900000000001</v>
      </c>
      <c r="U58" s="152">
        <f t="shared" si="4"/>
        <v>170.35599999999999</v>
      </c>
      <c r="V58" s="149">
        <v>163.24700000000001</v>
      </c>
      <c r="W58" s="150">
        <v>0</v>
      </c>
      <c r="X58" s="150">
        <v>0.46500000000000002</v>
      </c>
      <c r="Y58" s="150">
        <v>0</v>
      </c>
      <c r="Z58" s="150">
        <v>0</v>
      </c>
      <c r="AA58" s="150">
        <f t="shared" si="5"/>
        <v>163.71200000000002</v>
      </c>
      <c r="AB58" s="150">
        <v>2.6320000000000001</v>
      </c>
      <c r="AC58" s="151">
        <f t="shared" si="6"/>
        <v>166.34399999999999</v>
      </c>
      <c r="AD58" s="152">
        <f t="shared" si="7"/>
        <v>4.0120000000000005</v>
      </c>
      <c r="AE58" s="152">
        <v>5.66</v>
      </c>
      <c r="AF58" s="137"/>
      <c r="AG58" s="149">
        <f t="shared" si="8"/>
        <v>163.71200000000002</v>
      </c>
      <c r="AH58" s="150">
        <f>AD58</f>
        <v>4.0120000000000005</v>
      </c>
      <c r="AI58" s="150">
        <v>-5.7539999999999996</v>
      </c>
      <c r="AJ58" s="150">
        <f t="shared" si="10"/>
        <v>161.97000000000003</v>
      </c>
      <c r="AK58" s="150">
        <f t="shared" si="11"/>
        <v>170.62033224313913</v>
      </c>
      <c r="AL58" s="150">
        <f t="shared" si="12"/>
        <v>2.6320000000000001</v>
      </c>
      <c r="AM58" s="150">
        <f t="shared" si="13"/>
        <v>173.25233224313914</v>
      </c>
      <c r="AN58" s="150">
        <f t="shared" si="14"/>
        <v>169.31100000000001</v>
      </c>
      <c r="AO58" s="151">
        <f t="shared" si="15"/>
        <v>4.194</v>
      </c>
      <c r="AP58" s="138"/>
      <c r="AQ58" s="149">
        <v>0</v>
      </c>
      <c r="AR58" s="151">
        <f t="shared" si="16"/>
        <v>169.31100000000001</v>
      </c>
    </row>
    <row r="59" spans="1:44">
      <c r="A59" s="139" t="s">
        <v>266</v>
      </c>
      <c r="B59" s="140">
        <v>10074</v>
      </c>
      <c r="C59" s="141" t="s">
        <v>25</v>
      </c>
      <c r="D59" s="142">
        <v>142</v>
      </c>
      <c r="E59" s="143">
        <v>29.282</v>
      </c>
      <c r="F59" s="144">
        <v>0</v>
      </c>
      <c r="G59" s="144">
        <v>-0.20899999999999999</v>
      </c>
      <c r="H59" s="144">
        <v>0</v>
      </c>
      <c r="I59" s="144">
        <v>0</v>
      </c>
      <c r="J59" s="144">
        <f t="shared" si="0"/>
        <v>29.073</v>
      </c>
      <c r="K59" s="144">
        <v>1.4E-2</v>
      </c>
      <c r="L59" s="145">
        <f t="shared" si="1"/>
        <v>29.087</v>
      </c>
      <c r="M59" s="143">
        <v>30.154</v>
      </c>
      <c r="N59" s="144">
        <v>0</v>
      </c>
      <c r="O59" s="144">
        <v>-0.82299999999999995</v>
      </c>
      <c r="P59" s="144">
        <v>0</v>
      </c>
      <c r="Q59" s="144">
        <v>0</v>
      </c>
      <c r="R59" s="144">
        <f t="shared" si="2"/>
        <v>29.331</v>
      </c>
      <c r="S59" s="144">
        <v>7.2999999999999995E-2</v>
      </c>
      <c r="T59" s="145">
        <f t="shared" si="3"/>
        <v>29.404</v>
      </c>
      <c r="U59" s="146">
        <f t="shared" si="4"/>
        <v>29.245999999999999</v>
      </c>
      <c r="V59" s="143">
        <v>27.100999999999999</v>
      </c>
      <c r="W59" s="144">
        <v>0</v>
      </c>
      <c r="X59" s="144">
        <v>-2.3E-2</v>
      </c>
      <c r="Y59" s="144">
        <v>0</v>
      </c>
      <c r="Z59" s="144">
        <v>0</v>
      </c>
      <c r="AA59" s="144">
        <f t="shared" si="5"/>
        <v>27.077999999999999</v>
      </c>
      <c r="AB59" s="144">
        <v>0.51800000000000002</v>
      </c>
      <c r="AC59" s="145">
        <f t="shared" si="6"/>
        <v>27.596</v>
      </c>
      <c r="AD59" s="146">
        <f t="shared" si="7"/>
        <v>1.6499999999999986</v>
      </c>
      <c r="AE59" s="146">
        <v>0</v>
      </c>
      <c r="AF59" s="147"/>
      <c r="AG59" s="143">
        <f t="shared" si="8"/>
        <v>27.077999999999999</v>
      </c>
      <c r="AH59" s="144">
        <f t="shared" ref="AH59:AH122" si="17">IF(AD59&gt;AE59, AD59, AE59)</f>
        <v>1.6499999999999986</v>
      </c>
      <c r="AI59" s="144">
        <v>-2.7250000000000001</v>
      </c>
      <c r="AJ59" s="144">
        <f t="shared" si="10"/>
        <v>26.002999999999997</v>
      </c>
      <c r="AK59" s="144">
        <f t="shared" si="11"/>
        <v>27.391742293747885</v>
      </c>
      <c r="AL59" s="144">
        <f t="shared" si="12"/>
        <v>0.51800000000000002</v>
      </c>
      <c r="AM59" s="144">
        <f t="shared" si="13"/>
        <v>27.909742293747886</v>
      </c>
      <c r="AN59" s="144">
        <f t="shared" si="14"/>
        <v>27.274999999999999</v>
      </c>
      <c r="AO59" s="145">
        <f t="shared" si="15"/>
        <v>1.7310000000000001</v>
      </c>
      <c r="AP59" s="148"/>
      <c r="AQ59" s="143">
        <v>0</v>
      </c>
      <c r="AR59" s="145">
        <f t="shared" si="16"/>
        <v>27.274999999999999</v>
      </c>
    </row>
    <row r="60" spans="1:44">
      <c r="A60" s="129" t="s">
        <v>267</v>
      </c>
      <c r="B60" s="130">
        <v>10183</v>
      </c>
      <c r="C60" s="131" t="s">
        <v>26</v>
      </c>
      <c r="D60" s="132">
        <v>233</v>
      </c>
      <c r="E60" s="149">
        <v>106.35299999999999</v>
      </c>
      <c r="F60" s="150">
        <v>0</v>
      </c>
      <c r="G60" s="150">
        <v>-0.746</v>
      </c>
      <c r="H60" s="150">
        <v>-16.047999999999998</v>
      </c>
      <c r="I60" s="150">
        <v>15.644</v>
      </c>
      <c r="J60" s="150">
        <f t="shared" si="0"/>
        <v>105.203</v>
      </c>
      <c r="K60" s="150">
        <v>0.26</v>
      </c>
      <c r="L60" s="151">
        <f t="shared" si="1"/>
        <v>105.46299999999999</v>
      </c>
      <c r="M60" s="149">
        <v>110.392</v>
      </c>
      <c r="N60" s="150">
        <v>0</v>
      </c>
      <c r="O60" s="150">
        <v>0.309</v>
      </c>
      <c r="P60" s="150">
        <v>-16.591999999999999</v>
      </c>
      <c r="Q60" s="150">
        <v>15.67</v>
      </c>
      <c r="R60" s="150">
        <f t="shared" si="2"/>
        <v>109.779</v>
      </c>
      <c r="S60" s="150">
        <v>0.502</v>
      </c>
      <c r="T60" s="151">
        <f t="shared" si="3"/>
        <v>110.28100000000001</v>
      </c>
      <c r="U60" s="152">
        <f t="shared" si="4"/>
        <v>107.872</v>
      </c>
      <c r="V60" s="149">
        <v>112.568</v>
      </c>
      <c r="W60" s="150">
        <v>0</v>
      </c>
      <c r="X60" s="150">
        <v>0.89600000000000002</v>
      </c>
      <c r="Y60" s="150">
        <v>-15.252000000000001</v>
      </c>
      <c r="Z60" s="150">
        <v>15.614000000000001</v>
      </c>
      <c r="AA60" s="150">
        <f t="shared" si="5"/>
        <v>113.82600000000001</v>
      </c>
      <c r="AB60" s="150">
        <v>2.6970000000000001</v>
      </c>
      <c r="AC60" s="151">
        <f t="shared" si="6"/>
        <v>116.523</v>
      </c>
      <c r="AD60" s="152">
        <f t="shared" si="7"/>
        <v>0</v>
      </c>
      <c r="AE60" s="152">
        <v>0</v>
      </c>
      <c r="AF60" s="137"/>
      <c r="AG60" s="149">
        <f t="shared" si="8"/>
        <v>113.82600000000001</v>
      </c>
      <c r="AH60" s="150">
        <f t="shared" si="17"/>
        <v>0</v>
      </c>
      <c r="AI60" s="150">
        <v>-0.69</v>
      </c>
      <c r="AJ60" s="150">
        <f t="shared" si="10"/>
        <v>113.13600000000001</v>
      </c>
      <c r="AK60" s="150">
        <f t="shared" si="11"/>
        <v>119.17825466851754</v>
      </c>
      <c r="AL60" s="150">
        <f t="shared" si="12"/>
        <v>2.6970000000000001</v>
      </c>
      <c r="AM60" s="150">
        <f t="shared" si="13"/>
        <v>121.87525466851754</v>
      </c>
      <c r="AN60" s="150">
        <f t="shared" si="14"/>
        <v>119.102</v>
      </c>
      <c r="AO60" s="151">
        <f t="shared" si="15"/>
        <v>0</v>
      </c>
      <c r="AP60" s="138"/>
      <c r="AQ60" s="149">
        <v>0</v>
      </c>
      <c r="AR60" s="151">
        <f t="shared" si="16"/>
        <v>119.102</v>
      </c>
    </row>
    <row r="61" spans="1:44">
      <c r="A61" s="139" t="s">
        <v>268</v>
      </c>
      <c r="B61" s="140">
        <v>10186</v>
      </c>
      <c r="C61" s="141" t="s">
        <v>269</v>
      </c>
      <c r="D61" s="142">
        <v>340</v>
      </c>
      <c r="E61" s="143">
        <v>20.216999999999999</v>
      </c>
      <c r="F61" s="144">
        <v>0</v>
      </c>
      <c r="G61" s="144">
        <v>7.9000000000000001E-2</v>
      </c>
      <c r="H61" s="144">
        <v>0</v>
      </c>
      <c r="I61" s="144">
        <v>0</v>
      </c>
      <c r="J61" s="144">
        <f t="shared" si="0"/>
        <v>20.295999999999999</v>
      </c>
      <c r="K61" s="144">
        <v>1.2E-2</v>
      </c>
      <c r="L61" s="145">
        <f t="shared" si="1"/>
        <v>20.308</v>
      </c>
      <c r="M61" s="143">
        <v>20.443000000000001</v>
      </c>
      <c r="N61" s="144">
        <v>0</v>
      </c>
      <c r="O61" s="144">
        <v>2.3E-2</v>
      </c>
      <c r="P61" s="144">
        <v>0</v>
      </c>
      <c r="Q61" s="144">
        <v>0</v>
      </c>
      <c r="R61" s="144">
        <f t="shared" si="2"/>
        <v>20.466000000000001</v>
      </c>
      <c r="S61" s="144">
        <v>1.7000000000000001E-2</v>
      </c>
      <c r="T61" s="145">
        <f t="shared" si="3"/>
        <v>20.483000000000001</v>
      </c>
      <c r="U61" s="146">
        <f t="shared" si="4"/>
        <v>20.396000000000001</v>
      </c>
      <c r="V61" s="143">
        <v>20.687000000000001</v>
      </c>
      <c r="W61" s="144">
        <v>0</v>
      </c>
      <c r="X61" s="144">
        <v>-5.3999999999999999E-2</v>
      </c>
      <c r="Y61" s="144">
        <v>0</v>
      </c>
      <c r="Z61" s="144">
        <v>0</v>
      </c>
      <c r="AA61" s="144">
        <f t="shared" si="5"/>
        <v>20.633000000000003</v>
      </c>
      <c r="AB61" s="144">
        <v>0.40400000000000003</v>
      </c>
      <c r="AC61" s="145">
        <f t="shared" si="6"/>
        <v>21.036999999999999</v>
      </c>
      <c r="AD61" s="146">
        <f t="shared" si="7"/>
        <v>0</v>
      </c>
      <c r="AE61" s="146">
        <v>0</v>
      </c>
      <c r="AF61" s="147"/>
      <c r="AG61" s="143">
        <f t="shared" si="8"/>
        <v>20.633000000000003</v>
      </c>
      <c r="AH61" s="144">
        <f t="shared" si="17"/>
        <v>0</v>
      </c>
      <c r="AI61" s="144">
        <v>0</v>
      </c>
      <c r="AJ61" s="144">
        <f t="shared" si="10"/>
        <v>20.633000000000003</v>
      </c>
      <c r="AK61" s="144">
        <f t="shared" si="11"/>
        <v>21.734946688724389</v>
      </c>
      <c r="AL61" s="144">
        <f t="shared" si="12"/>
        <v>0.40400000000000003</v>
      </c>
      <c r="AM61" s="144">
        <f t="shared" si="13"/>
        <v>22.138946688724388</v>
      </c>
      <c r="AN61" s="144">
        <f t="shared" si="14"/>
        <v>21.635000000000002</v>
      </c>
      <c r="AO61" s="145">
        <f t="shared" si="15"/>
        <v>0</v>
      </c>
      <c r="AP61" s="148"/>
      <c r="AQ61" s="143">
        <v>0</v>
      </c>
      <c r="AR61" s="145">
        <f t="shared" si="16"/>
        <v>21.635000000000002</v>
      </c>
    </row>
    <row r="62" spans="1:44">
      <c r="A62" s="129" t="s">
        <v>270</v>
      </c>
      <c r="B62" s="130">
        <v>10191</v>
      </c>
      <c r="C62" s="131" t="s">
        <v>27</v>
      </c>
      <c r="D62" s="132">
        <v>241</v>
      </c>
      <c r="E62" s="149">
        <v>126.229</v>
      </c>
      <c r="F62" s="150">
        <v>0</v>
      </c>
      <c r="G62" s="150">
        <v>1.601</v>
      </c>
      <c r="H62" s="150">
        <v>0</v>
      </c>
      <c r="I62" s="150">
        <v>0</v>
      </c>
      <c r="J62" s="150">
        <f t="shared" si="0"/>
        <v>127.83</v>
      </c>
      <c r="K62" s="150">
        <v>5.0999999999999997E-2</v>
      </c>
      <c r="L62" s="151">
        <f t="shared" si="1"/>
        <v>127.881</v>
      </c>
      <c r="M62" s="149">
        <v>132.333</v>
      </c>
      <c r="N62" s="150">
        <v>0</v>
      </c>
      <c r="O62" s="150">
        <v>-1.518</v>
      </c>
      <c r="P62" s="150">
        <v>0</v>
      </c>
      <c r="Q62" s="150">
        <v>0</v>
      </c>
      <c r="R62" s="150">
        <f t="shared" si="2"/>
        <v>130.815</v>
      </c>
      <c r="S62" s="150">
        <v>0.183</v>
      </c>
      <c r="T62" s="151">
        <f t="shared" si="3"/>
        <v>130.99799999999999</v>
      </c>
      <c r="U62" s="152">
        <f t="shared" si="4"/>
        <v>129.44</v>
      </c>
      <c r="V62" s="149">
        <v>124.533</v>
      </c>
      <c r="W62" s="150">
        <v>0</v>
      </c>
      <c r="X62" s="150">
        <v>-0.92100000000000004</v>
      </c>
      <c r="Y62" s="150">
        <v>0</v>
      </c>
      <c r="Z62" s="150">
        <v>0</v>
      </c>
      <c r="AA62" s="150">
        <f t="shared" si="5"/>
        <v>123.61199999999999</v>
      </c>
      <c r="AB62" s="150">
        <v>1.47</v>
      </c>
      <c r="AC62" s="151">
        <f t="shared" si="6"/>
        <v>125.08199999999999</v>
      </c>
      <c r="AD62" s="152">
        <f t="shared" si="7"/>
        <v>4.3580000000000041</v>
      </c>
      <c r="AE62" s="152">
        <v>0</v>
      </c>
      <c r="AF62" s="137"/>
      <c r="AG62" s="149">
        <f t="shared" si="8"/>
        <v>123.61199999999999</v>
      </c>
      <c r="AH62" s="150">
        <f t="shared" si="17"/>
        <v>4.3580000000000041</v>
      </c>
      <c r="AI62" s="150">
        <v>0</v>
      </c>
      <c r="AJ62" s="150">
        <f t="shared" si="10"/>
        <v>127.97</v>
      </c>
      <c r="AK62" s="150">
        <f t="shared" si="11"/>
        <v>134.80449414801822</v>
      </c>
      <c r="AL62" s="150">
        <f t="shared" si="12"/>
        <v>1.47</v>
      </c>
      <c r="AM62" s="150">
        <f t="shared" si="13"/>
        <v>136.27449414801822</v>
      </c>
      <c r="AN62" s="150">
        <f t="shared" si="14"/>
        <v>133.17400000000001</v>
      </c>
      <c r="AO62" s="151">
        <f t="shared" si="15"/>
        <v>4.5350000000000001</v>
      </c>
      <c r="AP62" s="138"/>
      <c r="AQ62" s="149">
        <v>0</v>
      </c>
      <c r="AR62" s="151">
        <f t="shared" si="16"/>
        <v>133.17400000000001</v>
      </c>
    </row>
    <row r="63" spans="1:44">
      <c r="A63" s="139" t="s">
        <v>271</v>
      </c>
      <c r="B63" s="140">
        <v>10197</v>
      </c>
      <c r="C63" s="141" t="s">
        <v>272</v>
      </c>
      <c r="D63" s="142">
        <v>341</v>
      </c>
      <c r="E63" s="143">
        <v>23.728999999999999</v>
      </c>
      <c r="F63" s="144">
        <v>0</v>
      </c>
      <c r="G63" s="144">
        <v>-3.5999999999999997E-2</v>
      </c>
      <c r="H63" s="144">
        <v>-17.27</v>
      </c>
      <c r="I63" s="144">
        <v>15.042999999999999</v>
      </c>
      <c r="J63" s="144">
        <f t="shared" si="0"/>
        <v>21.465999999999998</v>
      </c>
      <c r="K63" s="144">
        <v>1E-3</v>
      </c>
      <c r="L63" s="145">
        <f t="shared" si="1"/>
        <v>21.466999999999999</v>
      </c>
      <c r="M63" s="143">
        <v>23.032</v>
      </c>
      <c r="N63" s="144">
        <v>0</v>
      </c>
      <c r="O63" s="144">
        <v>-0.06</v>
      </c>
      <c r="P63" s="144">
        <v>-16.291</v>
      </c>
      <c r="Q63" s="144">
        <v>15.342000000000001</v>
      </c>
      <c r="R63" s="144">
        <f t="shared" si="2"/>
        <v>22.023000000000003</v>
      </c>
      <c r="S63" s="144">
        <v>2.5999999999999999E-2</v>
      </c>
      <c r="T63" s="145">
        <f t="shared" si="3"/>
        <v>22.048999999999999</v>
      </c>
      <c r="U63" s="146">
        <f t="shared" si="4"/>
        <v>21.757999999999999</v>
      </c>
      <c r="V63" s="143">
        <v>20.614000000000001</v>
      </c>
      <c r="W63" s="144">
        <v>0</v>
      </c>
      <c r="X63" s="144">
        <v>1.0999999999999999E-2</v>
      </c>
      <c r="Y63" s="144">
        <v>-13.978999999999999</v>
      </c>
      <c r="Z63" s="144">
        <v>15.590999999999999</v>
      </c>
      <c r="AA63" s="144">
        <f t="shared" si="5"/>
        <v>22.237000000000002</v>
      </c>
      <c r="AB63" s="144">
        <v>0.20499999999999999</v>
      </c>
      <c r="AC63" s="145">
        <f t="shared" si="6"/>
        <v>22.442</v>
      </c>
      <c r="AD63" s="146">
        <f t="shared" si="7"/>
        <v>0</v>
      </c>
      <c r="AE63" s="146">
        <v>0</v>
      </c>
      <c r="AF63" s="147"/>
      <c r="AG63" s="143">
        <f t="shared" si="8"/>
        <v>22.237000000000002</v>
      </c>
      <c r="AH63" s="144">
        <f t="shared" si="17"/>
        <v>0</v>
      </c>
      <c r="AI63" s="144">
        <v>0</v>
      </c>
      <c r="AJ63" s="144">
        <f t="shared" si="10"/>
        <v>22.237000000000002</v>
      </c>
      <c r="AK63" s="144">
        <f t="shared" si="11"/>
        <v>23.424611521211855</v>
      </c>
      <c r="AL63" s="144">
        <f t="shared" si="12"/>
        <v>0.20499999999999999</v>
      </c>
      <c r="AM63" s="144">
        <f t="shared" si="13"/>
        <v>23.629611521211853</v>
      </c>
      <c r="AN63" s="144">
        <f t="shared" si="14"/>
        <v>23.091999999999999</v>
      </c>
      <c r="AO63" s="145">
        <f t="shared" si="15"/>
        <v>0</v>
      </c>
      <c r="AP63" s="148"/>
      <c r="AQ63" s="143">
        <v>0</v>
      </c>
      <c r="AR63" s="145">
        <f t="shared" si="16"/>
        <v>23.091999999999999</v>
      </c>
    </row>
    <row r="64" spans="1:44">
      <c r="A64" s="129" t="s">
        <v>273</v>
      </c>
      <c r="B64" s="130">
        <v>10597</v>
      </c>
      <c r="C64" s="131" t="s">
        <v>274</v>
      </c>
      <c r="D64" s="132">
        <v>10597</v>
      </c>
      <c r="E64" s="149">
        <v>12.564</v>
      </c>
      <c r="F64" s="150">
        <v>0</v>
      </c>
      <c r="G64" s="150">
        <v>-8.7999999999999995E-2</v>
      </c>
      <c r="H64" s="150">
        <v>0</v>
      </c>
      <c r="I64" s="150">
        <v>0</v>
      </c>
      <c r="J64" s="150">
        <f t="shared" si="0"/>
        <v>12.476000000000001</v>
      </c>
      <c r="K64" s="150">
        <v>1.2999999999999999E-2</v>
      </c>
      <c r="L64" s="151">
        <f t="shared" si="1"/>
        <v>12.489000000000001</v>
      </c>
      <c r="M64" s="149">
        <v>12.227</v>
      </c>
      <c r="N64" s="150">
        <v>0</v>
      </c>
      <c r="O64" s="150">
        <v>-7.0000000000000001E-3</v>
      </c>
      <c r="P64" s="150">
        <v>0</v>
      </c>
      <c r="Q64" s="150">
        <v>0</v>
      </c>
      <c r="R64" s="150">
        <f t="shared" si="2"/>
        <v>12.22</v>
      </c>
      <c r="S64" s="150">
        <v>0.13200000000000001</v>
      </c>
      <c r="T64" s="151">
        <f t="shared" si="3"/>
        <v>12.352</v>
      </c>
      <c r="U64" s="152">
        <f t="shared" si="4"/>
        <v>12.420999999999999</v>
      </c>
      <c r="V64" s="149">
        <v>12.445</v>
      </c>
      <c r="W64" s="150">
        <v>0</v>
      </c>
      <c r="X64" s="150">
        <v>0.10199999999999999</v>
      </c>
      <c r="Y64" s="150">
        <v>0</v>
      </c>
      <c r="Z64" s="150">
        <v>0</v>
      </c>
      <c r="AA64" s="150">
        <f t="shared" si="5"/>
        <v>12.547000000000001</v>
      </c>
      <c r="AB64" s="150">
        <v>0.219</v>
      </c>
      <c r="AC64" s="151">
        <f t="shared" si="6"/>
        <v>12.766</v>
      </c>
      <c r="AD64" s="152">
        <f t="shared" si="7"/>
        <v>0</v>
      </c>
      <c r="AE64" s="152">
        <v>0</v>
      </c>
      <c r="AF64" s="137"/>
      <c r="AG64" s="149">
        <f t="shared" si="8"/>
        <v>12.547000000000001</v>
      </c>
      <c r="AH64" s="150">
        <f t="shared" si="17"/>
        <v>0</v>
      </c>
      <c r="AI64" s="150">
        <v>0</v>
      </c>
      <c r="AJ64" s="150">
        <f t="shared" si="10"/>
        <v>12.547000000000001</v>
      </c>
      <c r="AK64" s="150">
        <f t="shared" si="11"/>
        <v>13.217097664102404</v>
      </c>
      <c r="AL64" s="150">
        <f t="shared" si="12"/>
        <v>0.219</v>
      </c>
      <c r="AM64" s="150">
        <f t="shared" si="13"/>
        <v>13.436097664102403</v>
      </c>
      <c r="AN64" s="150">
        <f t="shared" si="14"/>
        <v>13.13</v>
      </c>
      <c r="AO64" s="151">
        <f t="shared" si="15"/>
        <v>0</v>
      </c>
      <c r="AP64" s="138"/>
      <c r="AQ64" s="149">
        <v>0</v>
      </c>
      <c r="AR64" s="151">
        <f t="shared" si="16"/>
        <v>13.13</v>
      </c>
    </row>
    <row r="65" spans="1:44">
      <c r="A65" s="139" t="s">
        <v>275</v>
      </c>
      <c r="B65" s="140">
        <v>10076</v>
      </c>
      <c r="C65" s="141" t="s">
        <v>276</v>
      </c>
      <c r="D65" s="142">
        <v>150</v>
      </c>
      <c r="E65" s="143">
        <v>4.4359999999999999</v>
      </c>
      <c r="F65" s="144">
        <v>0</v>
      </c>
      <c r="G65" s="144">
        <v>-1.2999999999999999E-2</v>
      </c>
      <c r="H65" s="144">
        <v>0</v>
      </c>
      <c r="I65" s="144">
        <v>0</v>
      </c>
      <c r="J65" s="144">
        <f t="shared" si="0"/>
        <v>4.423</v>
      </c>
      <c r="K65" s="144">
        <v>1E-3</v>
      </c>
      <c r="L65" s="145">
        <f t="shared" si="1"/>
        <v>4.4240000000000004</v>
      </c>
      <c r="M65" s="143">
        <v>4.6580000000000004</v>
      </c>
      <c r="N65" s="144">
        <v>0</v>
      </c>
      <c r="O65" s="144">
        <v>-7.6999999999999999E-2</v>
      </c>
      <c r="P65" s="144">
        <v>0</v>
      </c>
      <c r="Q65" s="144">
        <v>0</v>
      </c>
      <c r="R65" s="144">
        <f t="shared" si="2"/>
        <v>4.5810000000000004</v>
      </c>
      <c r="S65" s="144">
        <v>3.0000000000000001E-3</v>
      </c>
      <c r="T65" s="145">
        <f t="shared" si="3"/>
        <v>4.5839999999999996</v>
      </c>
      <c r="U65" s="146">
        <f t="shared" si="4"/>
        <v>4.5039999999999996</v>
      </c>
      <c r="V65" s="143">
        <v>4.774</v>
      </c>
      <c r="W65" s="144">
        <v>0</v>
      </c>
      <c r="X65" s="144">
        <v>-4.2999999999999997E-2</v>
      </c>
      <c r="Y65" s="144">
        <v>0</v>
      </c>
      <c r="Z65" s="144">
        <v>0</v>
      </c>
      <c r="AA65" s="144">
        <f t="shared" si="5"/>
        <v>4.7309999999999999</v>
      </c>
      <c r="AB65" s="144">
        <v>1.9E-2</v>
      </c>
      <c r="AC65" s="145">
        <f t="shared" si="6"/>
        <v>4.75</v>
      </c>
      <c r="AD65" s="146">
        <f t="shared" si="7"/>
        <v>0</v>
      </c>
      <c r="AE65" s="146">
        <v>0</v>
      </c>
      <c r="AF65" s="147"/>
      <c r="AG65" s="143">
        <f t="shared" si="8"/>
        <v>4.7309999999999999</v>
      </c>
      <c r="AH65" s="144">
        <f t="shared" si="17"/>
        <v>0</v>
      </c>
      <c r="AI65" s="144">
        <v>0</v>
      </c>
      <c r="AJ65" s="144">
        <f t="shared" si="10"/>
        <v>4.7309999999999999</v>
      </c>
      <c r="AK65" s="144">
        <f t="shared" si="11"/>
        <v>4.983668530235791</v>
      </c>
      <c r="AL65" s="144">
        <f t="shared" si="12"/>
        <v>1.9E-2</v>
      </c>
      <c r="AM65" s="144">
        <f t="shared" si="13"/>
        <v>5.0026685302357912</v>
      </c>
      <c r="AN65" s="144">
        <f t="shared" si="14"/>
        <v>4.8890000000000002</v>
      </c>
      <c r="AO65" s="145">
        <f t="shared" si="15"/>
        <v>0</v>
      </c>
      <c r="AP65" s="148"/>
      <c r="AQ65" s="143">
        <v>0</v>
      </c>
      <c r="AR65" s="145">
        <f t="shared" si="16"/>
        <v>4.8890000000000002</v>
      </c>
    </row>
    <row r="66" spans="1:44">
      <c r="A66" s="129" t="s">
        <v>277</v>
      </c>
      <c r="B66" s="130">
        <v>10202</v>
      </c>
      <c r="C66" s="131" t="s">
        <v>278</v>
      </c>
      <c r="D66" s="132">
        <v>342</v>
      </c>
      <c r="E66" s="149">
        <v>12.561999999999999</v>
      </c>
      <c r="F66" s="150">
        <v>0</v>
      </c>
      <c r="G66" s="150">
        <v>-5.0999999999999997E-2</v>
      </c>
      <c r="H66" s="150">
        <v>0</v>
      </c>
      <c r="I66" s="150">
        <v>0</v>
      </c>
      <c r="J66" s="150">
        <f t="shared" si="0"/>
        <v>12.510999999999999</v>
      </c>
      <c r="K66" s="150">
        <v>0</v>
      </c>
      <c r="L66" s="151">
        <f t="shared" si="1"/>
        <v>12.510999999999999</v>
      </c>
      <c r="M66" s="149">
        <v>12.423999999999999</v>
      </c>
      <c r="N66" s="150">
        <v>0</v>
      </c>
      <c r="O66" s="150">
        <v>-0.188</v>
      </c>
      <c r="P66" s="150">
        <v>0</v>
      </c>
      <c r="Q66" s="150">
        <v>0</v>
      </c>
      <c r="R66" s="150">
        <f t="shared" si="2"/>
        <v>12.235999999999999</v>
      </c>
      <c r="S66" s="150">
        <v>6.6000000000000003E-2</v>
      </c>
      <c r="T66" s="151">
        <f t="shared" si="3"/>
        <v>12.302</v>
      </c>
      <c r="U66" s="152">
        <f t="shared" si="4"/>
        <v>12.407</v>
      </c>
      <c r="V66" s="149">
        <v>12.827</v>
      </c>
      <c r="W66" s="150">
        <v>0</v>
      </c>
      <c r="X66" s="150">
        <v>-4.3999999999999997E-2</v>
      </c>
      <c r="Y66" s="150">
        <v>0</v>
      </c>
      <c r="Z66" s="150">
        <v>0</v>
      </c>
      <c r="AA66" s="150">
        <f t="shared" si="5"/>
        <v>12.782999999999999</v>
      </c>
      <c r="AB66" s="150">
        <v>0.13800000000000001</v>
      </c>
      <c r="AC66" s="151">
        <f t="shared" si="6"/>
        <v>12.920999999999999</v>
      </c>
      <c r="AD66" s="152">
        <f t="shared" si="7"/>
        <v>0</v>
      </c>
      <c r="AE66" s="152">
        <v>0</v>
      </c>
      <c r="AF66" s="137"/>
      <c r="AG66" s="149">
        <f t="shared" si="8"/>
        <v>12.782999999999999</v>
      </c>
      <c r="AH66" s="150">
        <f t="shared" si="17"/>
        <v>0</v>
      </c>
      <c r="AI66" s="150">
        <v>0</v>
      </c>
      <c r="AJ66" s="150">
        <f t="shared" si="10"/>
        <v>12.782999999999999</v>
      </c>
      <c r="AK66" s="150">
        <f t="shared" si="11"/>
        <v>13.465701716762654</v>
      </c>
      <c r="AL66" s="150">
        <f t="shared" si="12"/>
        <v>0.13800000000000001</v>
      </c>
      <c r="AM66" s="150">
        <f t="shared" si="13"/>
        <v>13.603701716762654</v>
      </c>
      <c r="AN66" s="150">
        <f t="shared" si="14"/>
        <v>13.294</v>
      </c>
      <c r="AO66" s="151">
        <f t="shared" si="15"/>
        <v>0</v>
      </c>
      <c r="AP66" s="138"/>
      <c r="AQ66" s="149">
        <v>0</v>
      </c>
      <c r="AR66" s="151">
        <f t="shared" si="16"/>
        <v>13.294</v>
      </c>
    </row>
    <row r="67" spans="1:44">
      <c r="A67" s="139" t="s">
        <v>279</v>
      </c>
      <c r="B67" s="140">
        <v>10204</v>
      </c>
      <c r="C67" s="141" t="s">
        <v>28</v>
      </c>
      <c r="D67" s="142">
        <v>152</v>
      </c>
      <c r="E67" s="143">
        <v>82.891000000000005</v>
      </c>
      <c r="F67" s="144">
        <v>0</v>
      </c>
      <c r="G67" s="144">
        <v>-0.22600000000000001</v>
      </c>
      <c r="H67" s="144">
        <v>0</v>
      </c>
      <c r="I67" s="144">
        <v>0</v>
      </c>
      <c r="J67" s="144">
        <f t="shared" si="0"/>
        <v>82.665000000000006</v>
      </c>
      <c r="K67" s="144">
        <v>5.7000000000000002E-2</v>
      </c>
      <c r="L67" s="145">
        <f t="shared" si="1"/>
        <v>82.721999999999994</v>
      </c>
      <c r="M67" s="143">
        <v>84.995000000000005</v>
      </c>
      <c r="N67" s="144">
        <v>0</v>
      </c>
      <c r="O67" s="144">
        <v>-1.3720000000000001</v>
      </c>
      <c r="P67" s="144">
        <v>0</v>
      </c>
      <c r="Q67" s="144">
        <v>0</v>
      </c>
      <c r="R67" s="144">
        <f t="shared" si="2"/>
        <v>83.623000000000005</v>
      </c>
      <c r="S67" s="144">
        <v>0.377</v>
      </c>
      <c r="T67" s="145">
        <f t="shared" si="3"/>
        <v>84</v>
      </c>
      <c r="U67" s="146">
        <f t="shared" si="4"/>
        <v>83.361000000000004</v>
      </c>
      <c r="V67" s="143">
        <v>83.346999999999994</v>
      </c>
      <c r="W67" s="144">
        <v>0</v>
      </c>
      <c r="X67" s="144">
        <v>-0.436</v>
      </c>
      <c r="Y67" s="144">
        <v>0</v>
      </c>
      <c r="Z67" s="144">
        <v>0</v>
      </c>
      <c r="AA67" s="144">
        <f t="shared" si="5"/>
        <v>82.910999999999987</v>
      </c>
      <c r="AB67" s="144">
        <v>1.387</v>
      </c>
      <c r="AC67" s="145">
        <f t="shared" si="6"/>
        <v>84.298000000000002</v>
      </c>
      <c r="AD67" s="146">
        <f t="shared" si="7"/>
        <v>0</v>
      </c>
      <c r="AE67" s="146">
        <v>0</v>
      </c>
      <c r="AF67" s="147"/>
      <c r="AG67" s="143">
        <f t="shared" si="8"/>
        <v>82.910999999999987</v>
      </c>
      <c r="AH67" s="144">
        <f t="shared" si="17"/>
        <v>0</v>
      </c>
      <c r="AI67" s="144">
        <v>-5.7939999999999996</v>
      </c>
      <c r="AJ67" s="144">
        <f t="shared" si="10"/>
        <v>77.11699999999999</v>
      </c>
      <c r="AK67" s="144">
        <f t="shared" si="11"/>
        <v>81.235587834748131</v>
      </c>
      <c r="AL67" s="144">
        <f t="shared" si="12"/>
        <v>1.387</v>
      </c>
      <c r="AM67" s="144">
        <f t="shared" si="13"/>
        <v>82.622587834748131</v>
      </c>
      <c r="AN67" s="144">
        <f t="shared" si="14"/>
        <v>80.742999999999995</v>
      </c>
      <c r="AO67" s="145">
        <f t="shared" si="15"/>
        <v>0</v>
      </c>
      <c r="AP67" s="148"/>
      <c r="AQ67" s="143">
        <v>0</v>
      </c>
      <c r="AR67" s="145">
        <f t="shared" si="16"/>
        <v>80.742999999999995</v>
      </c>
    </row>
    <row r="68" spans="1:44">
      <c r="A68" s="129" t="s">
        <v>280</v>
      </c>
      <c r="B68" s="130">
        <v>10203</v>
      </c>
      <c r="C68" s="131" t="s">
        <v>281</v>
      </c>
      <c r="D68" s="132">
        <v>345</v>
      </c>
      <c r="E68" s="149">
        <v>5.7779999999999996</v>
      </c>
      <c r="F68" s="150">
        <v>0</v>
      </c>
      <c r="G68" s="150">
        <v>1.2E-2</v>
      </c>
      <c r="H68" s="150">
        <v>-2.5000000000000001E-2</v>
      </c>
      <c r="I68" s="150">
        <v>1.7999999999999999E-2</v>
      </c>
      <c r="J68" s="150">
        <f t="shared" si="0"/>
        <v>5.7829999999999986</v>
      </c>
      <c r="K68" s="150">
        <v>0</v>
      </c>
      <c r="L68" s="151">
        <f t="shared" si="1"/>
        <v>5.7830000000000004</v>
      </c>
      <c r="M68" s="149">
        <v>6.0309999999999997</v>
      </c>
      <c r="N68" s="150">
        <v>0</v>
      </c>
      <c r="O68" s="150">
        <v>-5.3999999999999999E-2</v>
      </c>
      <c r="P68" s="150">
        <v>-1.6E-2</v>
      </c>
      <c r="Q68" s="150">
        <v>1.7999999999999999E-2</v>
      </c>
      <c r="R68" s="150">
        <f t="shared" si="2"/>
        <v>5.9789999999999992</v>
      </c>
      <c r="S68" s="150">
        <v>4.3999999999999997E-2</v>
      </c>
      <c r="T68" s="151">
        <f t="shared" si="3"/>
        <v>6.0229999999999997</v>
      </c>
      <c r="U68" s="152">
        <f t="shared" si="4"/>
        <v>5.9029999999999996</v>
      </c>
      <c r="V68" s="149">
        <v>6.0529999999999999</v>
      </c>
      <c r="W68" s="150">
        <v>0</v>
      </c>
      <c r="X68" s="150">
        <v>8.0000000000000002E-3</v>
      </c>
      <c r="Y68" s="150">
        <v>-1.4E-2</v>
      </c>
      <c r="Z68" s="150">
        <v>1.7999999999999999E-2</v>
      </c>
      <c r="AA68" s="150">
        <f t="shared" si="5"/>
        <v>6.0649999999999995</v>
      </c>
      <c r="AB68" s="150">
        <v>6.4000000000000001E-2</v>
      </c>
      <c r="AC68" s="151">
        <f t="shared" si="6"/>
        <v>6.1289999999999996</v>
      </c>
      <c r="AD68" s="152">
        <f t="shared" si="7"/>
        <v>0</v>
      </c>
      <c r="AE68" s="152">
        <v>0</v>
      </c>
      <c r="AF68" s="137"/>
      <c r="AG68" s="149">
        <f t="shared" si="8"/>
        <v>6.0649999999999995</v>
      </c>
      <c r="AH68" s="150">
        <f t="shared" si="17"/>
        <v>0</v>
      </c>
      <c r="AI68" s="150">
        <v>0</v>
      </c>
      <c r="AJ68" s="150">
        <f t="shared" si="10"/>
        <v>6.0649999999999995</v>
      </c>
      <c r="AK68" s="150">
        <f t="shared" si="11"/>
        <v>6.3889134719678857</v>
      </c>
      <c r="AL68" s="150">
        <f t="shared" si="12"/>
        <v>6.4000000000000001E-2</v>
      </c>
      <c r="AM68" s="150">
        <f t="shared" si="13"/>
        <v>6.4529134719678858</v>
      </c>
      <c r="AN68" s="150">
        <f t="shared" si="14"/>
        <v>6.306</v>
      </c>
      <c r="AO68" s="151">
        <f t="shared" si="15"/>
        <v>0</v>
      </c>
      <c r="AP68" s="138"/>
      <c r="AQ68" s="149">
        <v>0</v>
      </c>
      <c r="AR68" s="151">
        <f t="shared" si="16"/>
        <v>6.306</v>
      </c>
    </row>
    <row r="69" spans="1:44">
      <c r="A69" s="139" t="s">
        <v>282</v>
      </c>
      <c r="B69" s="140">
        <v>10209</v>
      </c>
      <c r="C69" s="141" t="s">
        <v>283</v>
      </c>
      <c r="D69" s="142">
        <v>348</v>
      </c>
      <c r="E69" s="143">
        <v>99.411000000000001</v>
      </c>
      <c r="F69" s="144">
        <v>0</v>
      </c>
      <c r="G69" s="144">
        <v>-0.23200000000000001</v>
      </c>
      <c r="H69" s="144">
        <v>-9.6649999999999991</v>
      </c>
      <c r="I69" s="144">
        <v>9.6280000000000001</v>
      </c>
      <c r="J69" s="144">
        <f t="shared" si="0"/>
        <v>99.14200000000001</v>
      </c>
      <c r="K69" s="144">
        <v>0.112</v>
      </c>
      <c r="L69" s="145">
        <f t="shared" si="1"/>
        <v>99.254000000000005</v>
      </c>
      <c r="M69" s="143">
        <v>102.851</v>
      </c>
      <c r="N69" s="144">
        <v>0</v>
      </c>
      <c r="O69" s="144">
        <v>-2.113</v>
      </c>
      <c r="P69" s="144">
        <v>-9.9600000000000009</v>
      </c>
      <c r="Q69" s="144">
        <v>9.6880000000000006</v>
      </c>
      <c r="R69" s="144">
        <f t="shared" si="2"/>
        <v>100.46599999999999</v>
      </c>
      <c r="S69" s="144">
        <v>0.34</v>
      </c>
      <c r="T69" s="145">
        <f t="shared" si="3"/>
        <v>100.806</v>
      </c>
      <c r="U69" s="146">
        <f t="shared" si="4"/>
        <v>100.03</v>
      </c>
      <c r="V69" s="143">
        <v>102.721</v>
      </c>
      <c r="W69" s="144">
        <v>0</v>
      </c>
      <c r="X69" s="144">
        <v>0.94799999999999995</v>
      </c>
      <c r="Y69" s="144">
        <v>-9.2140000000000004</v>
      </c>
      <c r="Z69" s="144">
        <v>9.6199999999999992</v>
      </c>
      <c r="AA69" s="144">
        <f t="shared" si="5"/>
        <v>104.075</v>
      </c>
      <c r="AB69" s="144">
        <v>2.2610000000000001</v>
      </c>
      <c r="AC69" s="145">
        <f t="shared" si="6"/>
        <v>106.336</v>
      </c>
      <c r="AD69" s="146">
        <f t="shared" si="7"/>
        <v>0</v>
      </c>
      <c r="AE69" s="146">
        <v>0</v>
      </c>
      <c r="AF69" s="147"/>
      <c r="AG69" s="143">
        <f t="shared" si="8"/>
        <v>104.075</v>
      </c>
      <c r="AH69" s="144">
        <f t="shared" si="17"/>
        <v>0</v>
      </c>
      <c r="AI69" s="144">
        <v>0</v>
      </c>
      <c r="AJ69" s="144">
        <f t="shared" si="10"/>
        <v>104.075</v>
      </c>
      <c r="AK69" s="144">
        <f t="shared" si="11"/>
        <v>109.63333381616782</v>
      </c>
      <c r="AL69" s="144">
        <f t="shared" si="12"/>
        <v>2.2610000000000001</v>
      </c>
      <c r="AM69" s="144">
        <f t="shared" si="13"/>
        <v>111.89433381616782</v>
      </c>
      <c r="AN69" s="144">
        <f t="shared" si="14"/>
        <v>109.349</v>
      </c>
      <c r="AO69" s="145">
        <f t="shared" si="15"/>
        <v>0</v>
      </c>
      <c r="AP69" s="148"/>
      <c r="AQ69" s="143">
        <v>0</v>
      </c>
      <c r="AR69" s="145">
        <f t="shared" si="16"/>
        <v>109.349</v>
      </c>
    </row>
    <row r="70" spans="1:44">
      <c r="A70" s="129" t="s">
        <v>284</v>
      </c>
      <c r="B70" s="130">
        <v>10230</v>
      </c>
      <c r="C70" s="131" t="s">
        <v>285</v>
      </c>
      <c r="D70" s="132">
        <v>246</v>
      </c>
      <c r="E70" s="149">
        <v>9.0540000000000003</v>
      </c>
      <c r="F70" s="150">
        <v>0</v>
      </c>
      <c r="G70" s="150">
        <v>-0.125</v>
      </c>
      <c r="H70" s="150">
        <v>-0.94099999999999995</v>
      </c>
      <c r="I70" s="150">
        <v>0.86799999999999999</v>
      </c>
      <c r="J70" s="150">
        <f t="shared" si="0"/>
        <v>8.8559999999999999</v>
      </c>
      <c r="K70" s="150">
        <v>0</v>
      </c>
      <c r="L70" s="151">
        <f t="shared" si="1"/>
        <v>8.8559999999999999</v>
      </c>
      <c r="M70" s="149">
        <v>9.2799999999999994</v>
      </c>
      <c r="N70" s="150">
        <v>0</v>
      </c>
      <c r="O70" s="150">
        <v>-0.161</v>
      </c>
      <c r="P70" s="150">
        <v>-0.99</v>
      </c>
      <c r="Q70" s="150">
        <v>0.874</v>
      </c>
      <c r="R70" s="150">
        <f t="shared" si="2"/>
        <v>9.0030000000000001</v>
      </c>
      <c r="S70" s="150">
        <v>1E-3</v>
      </c>
      <c r="T70" s="151">
        <f t="shared" si="3"/>
        <v>9.0039999999999996</v>
      </c>
      <c r="U70" s="152">
        <f t="shared" si="4"/>
        <v>8.93</v>
      </c>
      <c r="V70" s="149">
        <v>10.199999999999999</v>
      </c>
      <c r="W70" s="150">
        <v>0</v>
      </c>
      <c r="X70" s="150">
        <v>3.2000000000000001E-2</v>
      </c>
      <c r="Y70" s="150">
        <v>-0.76600000000000001</v>
      </c>
      <c r="Z70" s="150">
        <v>0.86799999999999999</v>
      </c>
      <c r="AA70" s="150">
        <f t="shared" si="5"/>
        <v>10.334</v>
      </c>
      <c r="AB70" s="150">
        <v>0.14699999999999999</v>
      </c>
      <c r="AC70" s="151">
        <f t="shared" si="6"/>
        <v>10.481</v>
      </c>
      <c r="AD70" s="152">
        <f t="shared" si="7"/>
        <v>0</v>
      </c>
      <c r="AE70" s="152">
        <v>0</v>
      </c>
      <c r="AF70" s="137"/>
      <c r="AG70" s="149">
        <f t="shared" si="8"/>
        <v>10.334</v>
      </c>
      <c r="AH70" s="150">
        <f t="shared" si="17"/>
        <v>0</v>
      </c>
      <c r="AI70" s="150">
        <v>-0.90800000000000003</v>
      </c>
      <c r="AJ70" s="150">
        <f t="shared" si="10"/>
        <v>9.4260000000000002</v>
      </c>
      <c r="AK70" s="150">
        <f t="shared" si="11"/>
        <v>9.9294144083708655</v>
      </c>
      <c r="AL70" s="150">
        <f t="shared" si="12"/>
        <v>0.14699999999999999</v>
      </c>
      <c r="AM70" s="150">
        <f t="shared" si="13"/>
        <v>10.076414408370866</v>
      </c>
      <c r="AN70" s="150">
        <f t="shared" si="14"/>
        <v>9.8469999999999995</v>
      </c>
      <c r="AO70" s="151">
        <f t="shared" si="15"/>
        <v>0</v>
      </c>
      <c r="AP70" s="138"/>
      <c r="AQ70" s="149">
        <v>0</v>
      </c>
      <c r="AR70" s="151">
        <f t="shared" si="16"/>
        <v>9.8469999999999995</v>
      </c>
    </row>
    <row r="71" spans="1:44">
      <c r="A71" s="139" t="s">
        <v>286</v>
      </c>
      <c r="B71" s="140">
        <v>10231</v>
      </c>
      <c r="C71" s="141" t="s">
        <v>29</v>
      </c>
      <c r="D71" s="142">
        <v>250</v>
      </c>
      <c r="E71" s="143">
        <v>36.838999999999999</v>
      </c>
      <c r="F71" s="144">
        <v>0</v>
      </c>
      <c r="G71" s="144">
        <v>-0.16300000000000001</v>
      </c>
      <c r="H71" s="144">
        <v>-3.4420000000000002</v>
      </c>
      <c r="I71" s="144">
        <v>3.58</v>
      </c>
      <c r="J71" s="144">
        <f t="shared" si="0"/>
        <v>36.814</v>
      </c>
      <c r="K71" s="144">
        <v>3.9E-2</v>
      </c>
      <c r="L71" s="145">
        <f t="shared" si="1"/>
        <v>36.853000000000002</v>
      </c>
      <c r="M71" s="143">
        <v>38.648000000000003</v>
      </c>
      <c r="N71" s="144">
        <v>0</v>
      </c>
      <c r="O71" s="144">
        <v>-0.42599999999999999</v>
      </c>
      <c r="P71" s="144">
        <v>-3.6970000000000001</v>
      </c>
      <c r="Q71" s="144">
        <v>3.58</v>
      </c>
      <c r="R71" s="144">
        <f t="shared" si="2"/>
        <v>38.104999999999997</v>
      </c>
      <c r="S71" s="144">
        <v>8.6999999999999994E-2</v>
      </c>
      <c r="T71" s="145">
        <f t="shared" si="3"/>
        <v>38.192</v>
      </c>
      <c r="U71" s="146">
        <f t="shared" si="4"/>
        <v>37.523000000000003</v>
      </c>
      <c r="V71" s="143">
        <v>39.926000000000002</v>
      </c>
      <c r="W71" s="144">
        <v>0</v>
      </c>
      <c r="X71" s="144">
        <v>8.0000000000000002E-3</v>
      </c>
      <c r="Y71" s="144">
        <v>-3.2709999999999999</v>
      </c>
      <c r="Z71" s="144">
        <v>3.5910000000000002</v>
      </c>
      <c r="AA71" s="144">
        <f t="shared" si="5"/>
        <v>40.254000000000005</v>
      </c>
      <c r="AB71" s="144">
        <v>0.32300000000000001</v>
      </c>
      <c r="AC71" s="145">
        <f t="shared" si="6"/>
        <v>40.576999999999998</v>
      </c>
      <c r="AD71" s="146">
        <f t="shared" si="7"/>
        <v>0</v>
      </c>
      <c r="AE71" s="146">
        <v>0</v>
      </c>
      <c r="AF71" s="147"/>
      <c r="AG71" s="143">
        <f t="shared" si="8"/>
        <v>40.254000000000005</v>
      </c>
      <c r="AH71" s="144">
        <f t="shared" si="17"/>
        <v>0</v>
      </c>
      <c r="AI71" s="144">
        <v>-4.4190000000000005</v>
      </c>
      <c r="AJ71" s="144">
        <f t="shared" si="10"/>
        <v>35.835000000000008</v>
      </c>
      <c r="AK71" s="144">
        <f t="shared" si="11"/>
        <v>37.748839945254616</v>
      </c>
      <c r="AL71" s="144">
        <f t="shared" si="12"/>
        <v>0.32300000000000001</v>
      </c>
      <c r="AM71" s="144">
        <f t="shared" si="13"/>
        <v>38.071839945254617</v>
      </c>
      <c r="AN71" s="144">
        <f t="shared" si="14"/>
        <v>37.206000000000003</v>
      </c>
      <c r="AO71" s="145">
        <f t="shared" si="15"/>
        <v>0</v>
      </c>
      <c r="AP71" s="148"/>
      <c r="AQ71" s="143">
        <v>0</v>
      </c>
      <c r="AR71" s="145">
        <f t="shared" si="16"/>
        <v>37.206000000000003</v>
      </c>
    </row>
    <row r="72" spans="1:44">
      <c r="A72" s="129" t="s">
        <v>287</v>
      </c>
      <c r="B72" s="130">
        <v>10234</v>
      </c>
      <c r="C72" s="131" t="s">
        <v>288</v>
      </c>
      <c r="D72" s="132">
        <v>351</v>
      </c>
      <c r="E72" s="149">
        <v>49.055999999999997</v>
      </c>
      <c r="F72" s="150">
        <v>0</v>
      </c>
      <c r="G72" s="150">
        <v>-0.83899999999999997</v>
      </c>
      <c r="H72" s="150">
        <v>0</v>
      </c>
      <c r="I72" s="150">
        <v>0</v>
      </c>
      <c r="J72" s="150">
        <f t="shared" si="0"/>
        <v>48.216999999999999</v>
      </c>
      <c r="K72" s="150">
        <v>5.0999999999999997E-2</v>
      </c>
      <c r="L72" s="151">
        <f t="shared" si="1"/>
        <v>48.268000000000001</v>
      </c>
      <c r="M72" s="149">
        <v>49.652000000000001</v>
      </c>
      <c r="N72" s="150">
        <v>0</v>
      </c>
      <c r="O72" s="150">
        <v>-1.3160000000000001</v>
      </c>
      <c r="P72" s="150">
        <v>0</v>
      </c>
      <c r="Q72" s="150">
        <v>0</v>
      </c>
      <c r="R72" s="150">
        <f t="shared" si="2"/>
        <v>48.335999999999999</v>
      </c>
      <c r="S72" s="150">
        <v>0.377</v>
      </c>
      <c r="T72" s="151">
        <f t="shared" si="3"/>
        <v>48.713000000000001</v>
      </c>
      <c r="U72" s="152">
        <f t="shared" si="4"/>
        <v>48.491</v>
      </c>
      <c r="V72" s="149">
        <v>49.332000000000001</v>
      </c>
      <c r="W72" s="150">
        <v>0</v>
      </c>
      <c r="X72" s="150">
        <v>-0.16400000000000001</v>
      </c>
      <c r="Y72" s="150">
        <v>0</v>
      </c>
      <c r="Z72" s="150">
        <v>0</v>
      </c>
      <c r="AA72" s="150">
        <f t="shared" si="5"/>
        <v>49.167999999999999</v>
      </c>
      <c r="AB72" s="150">
        <v>1.171</v>
      </c>
      <c r="AC72" s="151">
        <f t="shared" si="6"/>
        <v>50.338999999999999</v>
      </c>
      <c r="AD72" s="152">
        <f t="shared" si="7"/>
        <v>0</v>
      </c>
      <c r="AE72" s="152">
        <v>0</v>
      </c>
      <c r="AF72" s="137"/>
      <c r="AG72" s="149">
        <f t="shared" si="8"/>
        <v>49.167999999999999</v>
      </c>
      <c r="AH72" s="150">
        <f t="shared" si="17"/>
        <v>0</v>
      </c>
      <c r="AI72" s="150">
        <v>0</v>
      </c>
      <c r="AJ72" s="150">
        <f t="shared" si="10"/>
        <v>49.167999999999999</v>
      </c>
      <c r="AK72" s="150">
        <f t="shared" si="11"/>
        <v>51.79391551355598</v>
      </c>
      <c r="AL72" s="150">
        <f t="shared" si="12"/>
        <v>1.171</v>
      </c>
      <c r="AM72" s="150">
        <f t="shared" si="13"/>
        <v>52.964915513555979</v>
      </c>
      <c r="AN72" s="150">
        <f t="shared" si="14"/>
        <v>51.76</v>
      </c>
      <c r="AO72" s="151">
        <f t="shared" si="15"/>
        <v>0</v>
      </c>
      <c r="AP72" s="138"/>
      <c r="AQ72" s="149">
        <v>0</v>
      </c>
      <c r="AR72" s="151">
        <f t="shared" si="16"/>
        <v>51.76</v>
      </c>
    </row>
    <row r="73" spans="1:44">
      <c r="A73" s="139" t="s">
        <v>289</v>
      </c>
      <c r="B73" s="140">
        <v>10235</v>
      </c>
      <c r="C73" s="141" t="s">
        <v>30</v>
      </c>
      <c r="D73" s="142">
        <v>353</v>
      </c>
      <c r="E73" s="143">
        <v>32.701000000000001</v>
      </c>
      <c r="F73" s="144">
        <v>0</v>
      </c>
      <c r="G73" s="144">
        <v>-0.25900000000000001</v>
      </c>
      <c r="H73" s="144">
        <v>0</v>
      </c>
      <c r="I73" s="144">
        <v>0</v>
      </c>
      <c r="J73" s="144">
        <f t="shared" si="0"/>
        <v>32.442</v>
      </c>
      <c r="K73" s="144">
        <v>0.156</v>
      </c>
      <c r="L73" s="145">
        <f t="shared" si="1"/>
        <v>32.597999999999999</v>
      </c>
      <c r="M73" s="143">
        <v>33.771000000000001</v>
      </c>
      <c r="N73" s="144">
        <v>0</v>
      </c>
      <c r="O73" s="144">
        <v>-0.73199999999999998</v>
      </c>
      <c r="P73" s="144">
        <v>0</v>
      </c>
      <c r="Q73" s="144">
        <v>0</v>
      </c>
      <c r="R73" s="144">
        <f t="shared" si="2"/>
        <v>33.039000000000001</v>
      </c>
      <c r="S73" s="144">
        <v>0.16800000000000001</v>
      </c>
      <c r="T73" s="145">
        <f t="shared" si="3"/>
        <v>33.207000000000001</v>
      </c>
      <c r="U73" s="146">
        <f t="shared" si="4"/>
        <v>32.902999999999999</v>
      </c>
      <c r="V73" s="143">
        <v>31.771000000000001</v>
      </c>
      <c r="W73" s="144">
        <v>0</v>
      </c>
      <c r="X73" s="144">
        <v>0.28199999999999997</v>
      </c>
      <c r="Y73" s="144">
        <v>0</v>
      </c>
      <c r="Z73" s="144">
        <v>0</v>
      </c>
      <c r="AA73" s="144">
        <f t="shared" si="5"/>
        <v>32.052999999999997</v>
      </c>
      <c r="AB73" s="144">
        <v>0.629</v>
      </c>
      <c r="AC73" s="145">
        <f t="shared" si="6"/>
        <v>32.682000000000002</v>
      </c>
      <c r="AD73" s="146">
        <f t="shared" si="7"/>
        <v>0.22099999999999653</v>
      </c>
      <c r="AE73" s="146">
        <v>0</v>
      </c>
      <c r="AF73" s="147"/>
      <c r="AG73" s="143">
        <f t="shared" si="8"/>
        <v>32.052999999999997</v>
      </c>
      <c r="AH73" s="144">
        <f t="shared" si="17"/>
        <v>0.22099999999999653</v>
      </c>
      <c r="AI73" s="144">
        <v>0</v>
      </c>
      <c r="AJ73" s="144">
        <f t="shared" si="10"/>
        <v>32.273999999999994</v>
      </c>
      <c r="AK73" s="144">
        <f t="shared" si="11"/>
        <v>33.997657608292094</v>
      </c>
      <c r="AL73" s="144">
        <f t="shared" si="12"/>
        <v>0.629</v>
      </c>
      <c r="AM73" s="144">
        <f t="shared" si="13"/>
        <v>34.626657608292092</v>
      </c>
      <c r="AN73" s="144">
        <f t="shared" si="14"/>
        <v>33.838999999999999</v>
      </c>
      <c r="AO73" s="145">
        <f t="shared" si="15"/>
        <v>0.23200000000000001</v>
      </c>
      <c r="AP73" s="148"/>
      <c r="AQ73" s="143">
        <v>0</v>
      </c>
      <c r="AR73" s="145">
        <f t="shared" si="16"/>
        <v>33.838999999999999</v>
      </c>
    </row>
    <row r="74" spans="1:44">
      <c r="A74" s="129" t="s">
        <v>290</v>
      </c>
      <c r="B74" s="130">
        <v>10236</v>
      </c>
      <c r="C74" s="131" t="s">
        <v>291</v>
      </c>
      <c r="D74" s="132">
        <v>354</v>
      </c>
      <c r="E74" s="149">
        <v>28.55</v>
      </c>
      <c r="F74" s="150">
        <v>0</v>
      </c>
      <c r="G74" s="150">
        <v>-0.25600000000000001</v>
      </c>
      <c r="H74" s="150">
        <v>0</v>
      </c>
      <c r="I74" s="150">
        <v>0</v>
      </c>
      <c r="J74" s="150">
        <f t="shared" si="0"/>
        <v>28.294</v>
      </c>
      <c r="K74" s="150">
        <v>5.0999999999999997E-2</v>
      </c>
      <c r="L74" s="151">
        <f t="shared" si="1"/>
        <v>28.344999999999999</v>
      </c>
      <c r="M74" s="149">
        <v>30.114000000000001</v>
      </c>
      <c r="N74" s="150">
        <v>0</v>
      </c>
      <c r="O74" s="150">
        <v>-1.264</v>
      </c>
      <c r="P74" s="150">
        <v>0</v>
      </c>
      <c r="Q74" s="150">
        <v>0</v>
      </c>
      <c r="R74" s="150">
        <f t="shared" si="2"/>
        <v>28.85</v>
      </c>
      <c r="S74" s="150">
        <v>0.11700000000000001</v>
      </c>
      <c r="T74" s="151">
        <f t="shared" si="3"/>
        <v>28.966999999999999</v>
      </c>
      <c r="U74" s="152">
        <f t="shared" si="4"/>
        <v>28.655999999999999</v>
      </c>
      <c r="V74" s="149">
        <v>28.486999999999998</v>
      </c>
      <c r="W74" s="150">
        <v>0</v>
      </c>
      <c r="X74" s="150">
        <v>-5.3999999999999999E-2</v>
      </c>
      <c r="Y74" s="150">
        <v>0</v>
      </c>
      <c r="Z74" s="150">
        <v>0</v>
      </c>
      <c r="AA74" s="150">
        <f t="shared" si="5"/>
        <v>28.433</v>
      </c>
      <c r="AB74" s="150">
        <v>0.27300000000000002</v>
      </c>
      <c r="AC74" s="151">
        <f t="shared" si="6"/>
        <v>28.706</v>
      </c>
      <c r="AD74" s="152">
        <f t="shared" si="7"/>
        <v>0</v>
      </c>
      <c r="AE74" s="152">
        <v>0</v>
      </c>
      <c r="AF74" s="137"/>
      <c r="AG74" s="149">
        <f t="shared" si="8"/>
        <v>28.433</v>
      </c>
      <c r="AH74" s="150">
        <f t="shared" si="17"/>
        <v>0</v>
      </c>
      <c r="AI74" s="150">
        <v>0</v>
      </c>
      <c r="AJ74" s="150">
        <f t="shared" si="10"/>
        <v>28.433</v>
      </c>
      <c r="AK74" s="150">
        <f t="shared" si="11"/>
        <v>29.951521310546234</v>
      </c>
      <c r="AL74" s="150">
        <f t="shared" si="12"/>
        <v>0.27300000000000002</v>
      </c>
      <c r="AM74" s="150">
        <f t="shared" si="13"/>
        <v>30.224521310546233</v>
      </c>
      <c r="AN74" s="150">
        <f t="shared" si="14"/>
        <v>29.536999999999999</v>
      </c>
      <c r="AO74" s="151">
        <f t="shared" si="15"/>
        <v>0</v>
      </c>
      <c r="AP74" s="138"/>
      <c r="AQ74" s="149">
        <v>0</v>
      </c>
      <c r="AR74" s="151">
        <f t="shared" si="16"/>
        <v>29.536999999999999</v>
      </c>
    </row>
    <row r="75" spans="1:44">
      <c r="A75" s="139" t="s">
        <v>292</v>
      </c>
      <c r="B75" s="140">
        <v>10237</v>
      </c>
      <c r="C75" s="141" t="s">
        <v>31</v>
      </c>
      <c r="D75" s="142">
        <v>253</v>
      </c>
      <c r="E75" s="143">
        <v>110.113</v>
      </c>
      <c r="F75" s="144">
        <v>0</v>
      </c>
      <c r="G75" s="144">
        <v>-0.1</v>
      </c>
      <c r="H75" s="144">
        <v>0</v>
      </c>
      <c r="I75" s="144">
        <v>0</v>
      </c>
      <c r="J75" s="144">
        <f t="shared" si="0"/>
        <v>110.01300000000001</v>
      </c>
      <c r="K75" s="144">
        <v>0.04</v>
      </c>
      <c r="L75" s="145">
        <f t="shared" si="1"/>
        <v>110.053</v>
      </c>
      <c r="M75" s="143">
        <v>115.932</v>
      </c>
      <c r="N75" s="144">
        <v>0</v>
      </c>
      <c r="O75" s="144">
        <v>-1.59</v>
      </c>
      <c r="P75" s="144">
        <v>0</v>
      </c>
      <c r="Q75" s="144">
        <v>0</v>
      </c>
      <c r="R75" s="144">
        <f t="shared" si="2"/>
        <v>114.342</v>
      </c>
      <c r="S75" s="144">
        <v>0.39300000000000002</v>
      </c>
      <c r="T75" s="145">
        <f t="shared" si="3"/>
        <v>114.735</v>
      </c>
      <c r="U75" s="146">
        <f t="shared" si="4"/>
        <v>112.39400000000001</v>
      </c>
      <c r="V75" s="143">
        <v>111.69799999999999</v>
      </c>
      <c r="W75" s="144">
        <v>0</v>
      </c>
      <c r="X75" s="144">
        <v>-8.5000000000000006E-2</v>
      </c>
      <c r="Y75" s="144">
        <v>0</v>
      </c>
      <c r="Z75" s="144">
        <v>0</v>
      </c>
      <c r="AA75" s="144">
        <f t="shared" si="5"/>
        <v>111.613</v>
      </c>
      <c r="AB75" s="144">
        <v>1.528</v>
      </c>
      <c r="AC75" s="145">
        <f t="shared" si="6"/>
        <v>113.14100000000001</v>
      </c>
      <c r="AD75" s="146">
        <f t="shared" si="7"/>
        <v>0</v>
      </c>
      <c r="AE75" s="146">
        <v>0</v>
      </c>
      <c r="AF75" s="147"/>
      <c r="AG75" s="143">
        <f t="shared" si="8"/>
        <v>111.613</v>
      </c>
      <c r="AH75" s="144">
        <f t="shared" si="17"/>
        <v>0</v>
      </c>
      <c r="AI75" s="144">
        <v>-0.93600000000000005</v>
      </c>
      <c r="AJ75" s="144">
        <f t="shared" si="10"/>
        <v>110.67699999999999</v>
      </c>
      <c r="AK75" s="144">
        <f t="shared" si="11"/>
        <v>116.58792684863805</v>
      </c>
      <c r="AL75" s="144">
        <f t="shared" si="12"/>
        <v>1.528</v>
      </c>
      <c r="AM75" s="144">
        <f t="shared" si="13"/>
        <v>118.11592684863805</v>
      </c>
      <c r="AN75" s="144">
        <f t="shared" si="14"/>
        <v>115.429</v>
      </c>
      <c r="AO75" s="145">
        <f t="shared" si="15"/>
        <v>0</v>
      </c>
      <c r="AP75" s="148"/>
      <c r="AQ75" s="143">
        <v>0</v>
      </c>
      <c r="AR75" s="145">
        <f t="shared" si="16"/>
        <v>115.429</v>
      </c>
    </row>
    <row r="76" spans="1:44">
      <c r="A76" s="129" t="s">
        <v>293</v>
      </c>
      <c r="B76" s="130">
        <v>10239</v>
      </c>
      <c r="C76" s="131" t="s">
        <v>32</v>
      </c>
      <c r="D76" s="132">
        <v>357</v>
      </c>
      <c r="E76" s="149">
        <v>14.026</v>
      </c>
      <c r="F76" s="150">
        <v>0</v>
      </c>
      <c r="G76" s="150">
        <v>5.8000000000000003E-2</v>
      </c>
      <c r="H76" s="150">
        <v>0</v>
      </c>
      <c r="I76" s="150">
        <v>0</v>
      </c>
      <c r="J76" s="150">
        <f t="shared" ref="J76:J139" si="18">SUM(E76:I76)</f>
        <v>14.084</v>
      </c>
      <c r="K76" s="150">
        <v>5.0000000000000001E-3</v>
      </c>
      <c r="L76" s="151">
        <f t="shared" ref="L76:L139" si="19">ROUND(J76+K76, 3)</f>
        <v>14.089</v>
      </c>
      <c r="M76" s="149">
        <v>14.53</v>
      </c>
      <c r="N76" s="150">
        <v>0</v>
      </c>
      <c r="O76" s="150">
        <v>0.124</v>
      </c>
      <c r="P76" s="150">
        <v>0</v>
      </c>
      <c r="Q76" s="150">
        <v>0</v>
      </c>
      <c r="R76" s="150">
        <f t="shared" ref="R76:R139" si="20">SUM(M76:Q76)</f>
        <v>14.654</v>
      </c>
      <c r="S76" s="150">
        <v>2.5000000000000001E-2</v>
      </c>
      <c r="T76" s="151">
        <f t="shared" ref="T76:T139" si="21">ROUND(R76+S76, 3)</f>
        <v>14.679</v>
      </c>
      <c r="U76" s="152">
        <f t="shared" ref="U76:U139" si="22">ROUND(+(L76+T76)/2, 3)</f>
        <v>14.384</v>
      </c>
      <c r="V76" s="149">
        <v>13.419</v>
      </c>
      <c r="W76" s="150">
        <v>0</v>
      </c>
      <c r="X76" s="150">
        <v>3.1E-2</v>
      </c>
      <c r="Y76" s="150">
        <v>0</v>
      </c>
      <c r="Z76" s="150">
        <v>0</v>
      </c>
      <c r="AA76" s="150">
        <f t="shared" ref="AA76:AA139" si="23">SUM(V76:Z76)</f>
        <v>13.450000000000001</v>
      </c>
      <c r="AB76" s="150">
        <v>0.35399999999999998</v>
      </c>
      <c r="AC76" s="151">
        <f t="shared" ref="AC76:AC139" si="24">ROUND(AA76+AB76, 3)</f>
        <v>13.804</v>
      </c>
      <c r="AD76" s="152">
        <f t="shared" ref="AD76:AD139" si="25">IF(U76-AC76&gt;0, U76-AC76, 0)</f>
        <v>0.58000000000000007</v>
      </c>
      <c r="AE76" s="152">
        <v>0</v>
      </c>
      <c r="AF76" s="137"/>
      <c r="AG76" s="149">
        <f t="shared" ref="AG76:AG139" si="26">AA76</f>
        <v>13.450000000000001</v>
      </c>
      <c r="AH76" s="150">
        <f t="shared" si="17"/>
        <v>0.58000000000000007</v>
      </c>
      <c r="AI76" s="150">
        <v>0</v>
      </c>
      <c r="AJ76" s="150">
        <f t="shared" ref="AJ76:AJ139" si="27">SUM(AG76:AI76)</f>
        <v>14.030000000000001</v>
      </c>
      <c r="AK76" s="150">
        <f t="shared" ref="AK76:AK139" si="28">AJ76*($AK$6/$AK$3)</f>
        <v>14.779300249251353</v>
      </c>
      <c r="AL76" s="150">
        <f t="shared" ref="AL76:AL139" si="29">AB76</f>
        <v>0.35399999999999998</v>
      </c>
      <c r="AM76" s="150">
        <f t="shared" ref="AM76:AM139" si="30">AK76+AL76</f>
        <v>15.133300249251352</v>
      </c>
      <c r="AN76" s="150">
        <f t="shared" ref="AN76:AN139" si="31">ROUND(AM76*($AK$4/$AK$5), 3)</f>
        <v>14.789</v>
      </c>
      <c r="AO76" s="151">
        <f t="shared" ref="AO76:AO139" si="32">ROUND(IF(AH76&gt;0, AN76*(AH76/AJ76), 0), 3)</f>
        <v>0.61099999999999999</v>
      </c>
      <c r="AP76" s="138"/>
      <c r="AQ76" s="149">
        <v>0</v>
      </c>
      <c r="AR76" s="151">
        <f t="shared" ref="AR76:AR139" si="33">AN76+AQ76</f>
        <v>14.789</v>
      </c>
    </row>
    <row r="77" spans="1:44">
      <c r="A77" s="139" t="s">
        <v>294</v>
      </c>
      <c r="B77" s="140">
        <v>10242</v>
      </c>
      <c r="C77" s="141" t="s">
        <v>295</v>
      </c>
      <c r="D77" s="142">
        <v>359</v>
      </c>
      <c r="E77" s="143">
        <v>9.7270000000000003</v>
      </c>
      <c r="F77" s="144">
        <v>0</v>
      </c>
      <c r="G77" s="144">
        <v>-0.104</v>
      </c>
      <c r="H77" s="144">
        <v>-6.0469999999999997</v>
      </c>
      <c r="I77" s="144">
        <v>4.7560000000000002</v>
      </c>
      <c r="J77" s="144">
        <f t="shared" si="18"/>
        <v>8.3320000000000007</v>
      </c>
      <c r="K77" s="144">
        <v>2E-3</v>
      </c>
      <c r="L77" s="145">
        <f t="shared" si="19"/>
        <v>8.3339999999999996</v>
      </c>
      <c r="M77" s="143">
        <v>9.907</v>
      </c>
      <c r="N77" s="144">
        <v>0</v>
      </c>
      <c r="O77" s="144">
        <v>-0.17499999999999999</v>
      </c>
      <c r="P77" s="144">
        <v>-5.7930000000000001</v>
      </c>
      <c r="Q77" s="144">
        <v>4.8209999999999997</v>
      </c>
      <c r="R77" s="144">
        <f t="shared" si="20"/>
        <v>8.759999999999998</v>
      </c>
      <c r="S77" s="144">
        <v>4.0000000000000001E-3</v>
      </c>
      <c r="T77" s="145">
        <f t="shared" si="21"/>
        <v>8.7639999999999993</v>
      </c>
      <c r="U77" s="146">
        <f t="shared" si="22"/>
        <v>8.5489999999999995</v>
      </c>
      <c r="V77" s="143">
        <v>8.9090000000000007</v>
      </c>
      <c r="W77" s="144">
        <v>0</v>
      </c>
      <c r="X77" s="144">
        <v>-7.5999999999999998E-2</v>
      </c>
      <c r="Y77" s="144">
        <v>-4.444</v>
      </c>
      <c r="Z77" s="144">
        <v>4.984</v>
      </c>
      <c r="AA77" s="144">
        <f t="shared" si="23"/>
        <v>9.3730000000000011</v>
      </c>
      <c r="AB77" s="144">
        <v>1.9E-2</v>
      </c>
      <c r="AC77" s="145">
        <f t="shared" si="24"/>
        <v>9.3919999999999995</v>
      </c>
      <c r="AD77" s="146">
        <f t="shared" si="25"/>
        <v>0</v>
      </c>
      <c r="AE77" s="146">
        <v>0</v>
      </c>
      <c r="AF77" s="147"/>
      <c r="AG77" s="143">
        <f t="shared" si="26"/>
        <v>9.3730000000000011</v>
      </c>
      <c r="AH77" s="144">
        <f t="shared" si="17"/>
        <v>0</v>
      </c>
      <c r="AI77" s="144">
        <v>0</v>
      </c>
      <c r="AJ77" s="144">
        <f t="shared" si="27"/>
        <v>9.3730000000000011</v>
      </c>
      <c r="AK77" s="144">
        <f t="shared" si="28"/>
        <v>9.8735838372225899</v>
      </c>
      <c r="AL77" s="144">
        <f t="shared" si="29"/>
        <v>1.9E-2</v>
      </c>
      <c r="AM77" s="144">
        <f t="shared" si="30"/>
        <v>9.89258383722259</v>
      </c>
      <c r="AN77" s="144">
        <f t="shared" si="31"/>
        <v>9.6679999999999993</v>
      </c>
      <c r="AO77" s="145">
        <f t="shared" si="32"/>
        <v>0</v>
      </c>
      <c r="AP77" s="148"/>
      <c r="AQ77" s="143">
        <v>0</v>
      </c>
      <c r="AR77" s="145">
        <f t="shared" si="33"/>
        <v>9.6679999999999993</v>
      </c>
    </row>
    <row r="78" spans="1:44">
      <c r="A78" s="129" t="s">
        <v>296</v>
      </c>
      <c r="B78" s="130">
        <v>10244</v>
      </c>
      <c r="C78" s="131" t="s">
        <v>297</v>
      </c>
      <c r="D78" s="132">
        <v>360</v>
      </c>
      <c r="E78" s="149">
        <v>80.543999999999997</v>
      </c>
      <c r="F78" s="150">
        <v>0</v>
      </c>
      <c r="G78" s="150">
        <v>-0.03</v>
      </c>
      <c r="H78" s="150">
        <v>0</v>
      </c>
      <c r="I78" s="150">
        <v>0</v>
      </c>
      <c r="J78" s="150">
        <f t="shared" si="18"/>
        <v>80.513999999999996</v>
      </c>
      <c r="K78" s="150">
        <v>0.16</v>
      </c>
      <c r="L78" s="151">
        <f t="shared" si="19"/>
        <v>80.674000000000007</v>
      </c>
      <c r="M78" s="149">
        <v>84.983999999999995</v>
      </c>
      <c r="N78" s="150">
        <v>0</v>
      </c>
      <c r="O78" s="150">
        <v>-1.5980000000000001</v>
      </c>
      <c r="P78" s="150">
        <v>0</v>
      </c>
      <c r="Q78" s="150">
        <v>0</v>
      </c>
      <c r="R78" s="150">
        <f t="shared" si="20"/>
        <v>83.385999999999996</v>
      </c>
      <c r="S78" s="150">
        <v>0.35599999999999998</v>
      </c>
      <c r="T78" s="151">
        <f t="shared" si="21"/>
        <v>83.742000000000004</v>
      </c>
      <c r="U78" s="152">
        <f t="shared" si="22"/>
        <v>82.207999999999998</v>
      </c>
      <c r="V78" s="149">
        <v>86.137</v>
      </c>
      <c r="W78" s="150">
        <v>0</v>
      </c>
      <c r="X78" s="150">
        <v>-1.196</v>
      </c>
      <c r="Y78" s="150">
        <v>0</v>
      </c>
      <c r="Z78" s="150">
        <v>0</v>
      </c>
      <c r="AA78" s="150">
        <f t="shared" si="23"/>
        <v>84.941000000000003</v>
      </c>
      <c r="AB78" s="150">
        <v>0.96</v>
      </c>
      <c r="AC78" s="151">
        <f t="shared" si="24"/>
        <v>85.900999999999996</v>
      </c>
      <c r="AD78" s="152">
        <f t="shared" si="25"/>
        <v>0</v>
      </c>
      <c r="AE78" s="152">
        <v>0</v>
      </c>
      <c r="AF78" s="137"/>
      <c r="AG78" s="149">
        <f t="shared" si="26"/>
        <v>84.941000000000003</v>
      </c>
      <c r="AH78" s="150">
        <f t="shared" si="17"/>
        <v>0</v>
      </c>
      <c r="AI78" s="150">
        <v>-1.0289999999999999</v>
      </c>
      <c r="AJ78" s="150">
        <f t="shared" si="27"/>
        <v>83.912000000000006</v>
      </c>
      <c r="AK78" s="150">
        <f t="shared" si="28"/>
        <v>88.393488418758338</v>
      </c>
      <c r="AL78" s="150">
        <f t="shared" si="29"/>
        <v>0.96</v>
      </c>
      <c r="AM78" s="150">
        <f t="shared" si="30"/>
        <v>89.353488418758332</v>
      </c>
      <c r="AN78" s="150">
        <f t="shared" si="31"/>
        <v>87.320999999999998</v>
      </c>
      <c r="AO78" s="151">
        <f t="shared" si="32"/>
        <v>0</v>
      </c>
      <c r="AP78" s="138"/>
      <c r="AQ78" s="149">
        <v>0</v>
      </c>
      <c r="AR78" s="151">
        <f t="shared" si="33"/>
        <v>87.320999999999998</v>
      </c>
    </row>
    <row r="79" spans="1:44">
      <c r="A79" s="139" t="s">
        <v>298</v>
      </c>
      <c r="B79" s="140">
        <v>10246</v>
      </c>
      <c r="C79" s="141" t="s">
        <v>33</v>
      </c>
      <c r="D79" s="142">
        <v>257</v>
      </c>
      <c r="E79" s="143">
        <v>8.75</v>
      </c>
      <c r="F79" s="144">
        <v>0</v>
      </c>
      <c r="G79" s="144">
        <v>-1.7999999999999999E-2</v>
      </c>
      <c r="H79" s="144">
        <v>0</v>
      </c>
      <c r="I79" s="144">
        <v>0</v>
      </c>
      <c r="J79" s="144">
        <f t="shared" si="18"/>
        <v>8.7319999999999993</v>
      </c>
      <c r="K79" s="144">
        <v>3.1E-2</v>
      </c>
      <c r="L79" s="145">
        <f t="shared" si="19"/>
        <v>8.7629999999999999</v>
      </c>
      <c r="M79" s="143">
        <v>9.2469999999999999</v>
      </c>
      <c r="N79" s="144">
        <v>0</v>
      </c>
      <c r="O79" s="144">
        <v>-0.32900000000000001</v>
      </c>
      <c r="P79" s="144">
        <v>0</v>
      </c>
      <c r="Q79" s="144">
        <v>0</v>
      </c>
      <c r="R79" s="144">
        <f t="shared" si="20"/>
        <v>8.9179999999999993</v>
      </c>
      <c r="S79" s="144">
        <v>5.5E-2</v>
      </c>
      <c r="T79" s="145">
        <f t="shared" si="21"/>
        <v>8.9730000000000008</v>
      </c>
      <c r="U79" s="146">
        <f t="shared" si="22"/>
        <v>8.8680000000000003</v>
      </c>
      <c r="V79" s="143">
        <v>8.7279999999999998</v>
      </c>
      <c r="W79" s="144">
        <v>0</v>
      </c>
      <c r="X79" s="144">
        <v>-0.01</v>
      </c>
      <c r="Y79" s="144">
        <v>0</v>
      </c>
      <c r="Z79" s="144">
        <v>0</v>
      </c>
      <c r="AA79" s="144">
        <f t="shared" si="23"/>
        <v>8.718</v>
      </c>
      <c r="AB79" s="144">
        <v>0.14699999999999999</v>
      </c>
      <c r="AC79" s="145">
        <f t="shared" si="24"/>
        <v>8.8650000000000002</v>
      </c>
      <c r="AD79" s="146">
        <f t="shared" si="25"/>
        <v>3.0000000000001137E-3</v>
      </c>
      <c r="AE79" s="146">
        <v>0</v>
      </c>
      <c r="AF79" s="147"/>
      <c r="AG79" s="143">
        <f t="shared" si="26"/>
        <v>8.718</v>
      </c>
      <c r="AH79" s="144">
        <f t="shared" si="17"/>
        <v>3.0000000000001137E-3</v>
      </c>
      <c r="AI79" s="144">
        <v>0</v>
      </c>
      <c r="AJ79" s="144">
        <f t="shared" si="27"/>
        <v>8.7210000000000001</v>
      </c>
      <c r="AK79" s="144">
        <f t="shared" si="28"/>
        <v>9.1867624713985059</v>
      </c>
      <c r="AL79" s="144">
        <f t="shared" si="29"/>
        <v>0.14699999999999999</v>
      </c>
      <c r="AM79" s="144">
        <f t="shared" si="30"/>
        <v>9.3337624713985061</v>
      </c>
      <c r="AN79" s="144">
        <f t="shared" si="31"/>
        <v>9.1210000000000004</v>
      </c>
      <c r="AO79" s="145">
        <f t="shared" si="32"/>
        <v>3.0000000000000001E-3</v>
      </c>
      <c r="AP79" s="148"/>
      <c r="AQ79" s="143">
        <v>0</v>
      </c>
      <c r="AR79" s="145">
        <f t="shared" si="33"/>
        <v>9.1210000000000004</v>
      </c>
    </row>
    <row r="80" spans="1:44">
      <c r="A80" s="129" t="s">
        <v>299</v>
      </c>
      <c r="B80" s="130">
        <v>10247</v>
      </c>
      <c r="C80" s="131" t="s">
        <v>34</v>
      </c>
      <c r="D80" s="132">
        <v>258</v>
      </c>
      <c r="E80" s="149">
        <v>78.983000000000004</v>
      </c>
      <c r="F80" s="150">
        <v>0</v>
      </c>
      <c r="G80" s="150">
        <v>-0.13700000000000001</v>
      </c>
      <c r="H80" s="150">
        <v>0</v>
      </c>
      <c r="I80" s="150">
        <v>0</v>
      </c>
      <c r="J80" s="150">
        <f t="shared" si="18"/>
        <v>78.846000000000004</v>
      </c>
      <c r="K80" s="150">
        <v>0.13800000000000001</v>
      </c>
      <c r="L80" s="151">
        <f t="shared" si="19"/>
        <v>78.983999999999995</v>
      </c>
      <c r="M80" s="149">
        <v>82.061000000000007</v>
      </c>
      <c r="N80" s="150">
        <v>0</v>
      </c>
      <c r="O80" s="150">
        <v>-2.3340000000000001</v>
      </c>
      <c r="P80" s="150">
        <v>0</v>
      </c>
      <c r="Q80" s="150">
        <v>0</v>
      </c>
      <c r="R80" s="150">
        <f t="shared" si="20"/>
        <v>79.727000000000004</v>
      </c>
      <c r="S80" s="150">
        <v>0.28999999999999998</v>
      </c>
      <c r="T80" s="151">
        <f t="shared" si="21"/>
        <v>80.016999999999996</v>
      </c>
      <c r="U80" s="152">
        <f t="shared" si="22"/>
        <v>79.501000000000005</v>
      </c>
      <c r="V80" s="149">
        <v>78.549000000000007</v>
      </c>
      <c r="W80" s="150">
        <v>0</v>
      </c>
      <c r="X80" s="150">
        <v>-8.5999999999999993E-2</v>
      </c>
      <c r="Y80" s="150">
        <v>0</v>
      </c>
      <c r="Z80" s="150">
        <v>0</v>
      </c>
      <c r="AA80" s="150">
        <f t="shared" si="23"/>
        <v>78.463000000000008</v>
      </c>
      <c r="AB80" s="150">
        <v>0.85299999999999998</v>
      </c>
      <c r="AC80" s="151">
        <f t="shared" si="24"/>
        <v>79.316000000000003</v>
      </c>
      <c r="AD80" s="152">
        <f t="shared" si="25"/>
        <v>0.18500000000000227</v>
      </c>
      <c r="AE80" s="152">
        <v>0</v>
      </c>
      <c r="AF80" s="137"/>
      <c r="AG80" s="149">
        <f t="shared" si="26"/>
        <v>78.463000000000008</v>
      </c>
      <c r="AH80" s="150">
        <f t="shared" si="17"/>
        <v>0.18500000000000227</v>
      </c>
      <c r="AI80" s="150">
        <v>-0.65700000000000003</v>
      </c>
      <c r="AJ80" s="150">
        <f t="shared" si="27"/>
        <v>77.991000000000014</v>
      </c>
      <c r="AK80" s="150">
        <f t="shared" si="28"/>
        <v>82.156265555193329</v>
      </c>
      <c r="AL80" s="150">
        <f t="shared" si="29"/>
        <v>0.85299999999999998</v>
      </c>
      <c r="AM80" s="150">
        <f t="shared" si="30"/>
        <v>83.009265555193323</v>
      </c>
      <c r="AN80" s="150">
        <f t="shared" si="31"/>
        <v>81.120999999999995</v>
      </c>
      <c r="AO80" s="151">
        <f t="shared" si="32"/>
        <v>0.192</v>
      </c>
      <c r="AP80" s="138"/>
      <c r="AQ80" s="149">
        <v>0</v>
      </c>
      <c r="AR80" s="151">
        <f t="shared" si="33"/>
        <v>81.120999999999995</v>
      </c>
    </row>
    <row r="81" spans="1:44">
      <c r="A81" s="139" t="s">
        <v>300</v>
      </c>
      <c r="B81" s="140">
        <v>10078</v>
      </c>
      <c r="C81" s="141" t="s">
        <v>35</v>
      </c>
      <c r="D81" s="142">
        <v>154</v>
      </c>
      <c r="E81" s="143">
        <v>4.0890000000000004</v>
      </c>
      <c r="F81" s="144">
        <v>0</v>
      </c>
      <c r="G81" s="144">
        <v>-7.0000000000000001E-3</v>
      </c>
      <c r="H81" s="144">
        <v>0</v>
      </c>
      <c r="I81" s="144">
        <v>0</v>
      </c>
      <c r="J81" s="144">
        <f t="shared" si="18"/>
        <v>4.0820000000000007</v>
      </c>
      <c r="K81" s="144">
        <v>0</v>
      </c>
      <c r="L81" s="145">
        <f t="shared" si="19"/>
        <v>4.0819999999999999</v>
      </c>
      <c r="M81" s="143">
        <v>4.2300000000000004</v>
      </c>
      <c r="N81" s="144">
        <v>0</v>
      </c>
      <c r="O81" s="144">
        <v>-7.5999999999999998E-2</v>
      </c>
      <c r="P81" s="144">
        <v>0</v>
      </c>
      <c r="Q81" s="144">
        <v>0</v>
      </c>
      <c r="R81" s="144">
        <f t="shared" si="20"/>
        <v>4.1540000000000008</v>
      </c>
      <c r="S81" s="144">
        <v>2E-3</v>
      </c>
      <c r="T81" s="145">
        <f t="shared" si="21"/>
        <v>4.1559999999999997</v>
      </c>
      <c r="U81" s="146">
        <f t="shared" si="22"/>
        <v>4.1189999999999998</v>
      </c>
      <c r="V81" s="143">
        <v>3.605</v>
      </c>
      <c r="W81" s="144">
        <v>0</v>
      </c>
      <c r="X81" s="144">
        <v>-7.0000000000000001E-3</v>
      </c>
      <c r="Y81" s="144">
        <v>0</v>
      </c>
      <c r="Z81" s="144">
        <v>0</v>
      </c>
      <c r="AA81" s="144">
        <f t="shared" si="23"/>
        <v>3.5979999999999999</v>
      </c>
      <c r="AB81" s="144">
        <v>7.9000000000000001E-2</v>
      </c>
      <c r="AC81" s="145">
        <f t="shared" si="24"/>
        <v>3.677</v>
      </c>
      <c r="AD81" s="146">
        <f t="shared" si="25"/>
        <v>0.44199999999999973</v>
      </c>
      <c r="AE81" s="146">
        <v>0</v>
      </c>
      <c r="AF81" s="147"/>
      <c r="AG81" s="143">
        <f t="shared" si="26"/>
        <v>3.5979999999999999</v>
      </c>
      <c r="AH81" s="144">
        <f t="shared" si="17"/>
        <v>0.44199999999999973</v>
      </c>
      <c r="AI81" s="144">
        <v>0</v>
      </c>
      <c r="AJ81" s="144">
        <f t="shared" si="27"/>
        <v>4.0399999999999991</v>
      </c>
      <c r="AK81" s="144">
        <f t="shared" si="28"/>
        <v>4.2557642913025981</v>
      </c>
      <c r="AL81" s="144">
        <f t="shared" si="29"/>
        <v>7.9000000000000001E-2</v>
      </c>
      <c r="AM81" s="144">
        <f t="shared" si="30"/>
        <v>4.3347642913025979</v>
      </c>
      <c r="AN81" s="144">
        <f t="shared" si="31"/>
        <v>4.2359999999999998</v>
      </c>
      <c r="AO81" s="145">
        <f t="shared" si="32"/>
        <v>0.46300000000000002</v>
      </c>
      <c r="AP81" s="148"/>
      <c r="AQ81" s="143">
        <v>0</v>
      </c>
      <c r="AR81" s="145">
        <f t="shared" si="33"/>
        <v>4.2359999999999998</v>
      </c>
    </row>
    <row r="82" spans="1:44">
      <c r="A82" s="129" t="s">
        <v>301</v>
      </c>
      <c r="B82" s="130">
        <v>10079</v>
      </c>
      <c r="C82" s="131" t="s">
        <v>36</v>
      </c>
      <c r="D82" s="132">
        <v>155</v>
      </c>
      <c r="E82" s="149">
        <v>102.562</v>
      </c>
      <c r="F82" s="150">
        <v>0</v>
      </c>
      <c r="G82" s="150">
        <v>-0.38300000000000001</v>
      </c>
      <c r="H82" s="150">
        <v>0</v>
      </c>
      <c r="I82" s="150">
        <v>0</v>
      </c>
      <c r="J82" s="150">
        <f t="shared" si="18"/>
        <v>102.179</v>
      </c>
      <c r="K82" s="150">
        <v>5.2999999999999999E-2</v>
      </c>
      <c r="L82" s="151">
        <f t="shared" si="19"/>
        <v>102.232</v>
      </c>
      <c r="M82" s="149">
        <v>106.616</v>
      </c>
      <c r="N82" s="150">
        <v>0</v>
      </c>
      <c r="O82" s="150">
        <v>-1.77</v>
      </c>
      <c r="P82" s="150">
        <v>0</v>
      </c>
      <c r="Q82" s="150">
        <v>0</v>
      </c>
      <c r="R82" s="150">
        <f t="shared" si="20"/>
        <v>104.846</v>
      </c>
      <c r="S82" s="150">
        <v>0.33900000000000002</v>
      </c>
      <c r="T82" s="151">
        <f t="shared" si="21"/>
        <v>105.185</v>
      </c>
      <c r="U82" s="152">
        <f t="shared" si="22"/>
        <v>103.709</v>
      </c>
      <c r="V82" s="149">
        <v>83.31</v>
      </c>
      <c r="W82" s="150">
        <v>0</v>
      </c>
      <c r="X82" s="150">
        <v>3.3000000000000002E-2</v>
      </c>
      <c r="Y82" s="150">
        <v>0</v>
      </c>
      <c r="Z82" s="150">
        <v>0</v>
      </c>
      <c r="AA82" s="150">
        <f t="shared" si="23"/>
        <v>83.343000000000004</v>
      </c>
      <c r="AB82" s="150">
        <v>3.6360000000000001</v>
      </c>
      <c r="AC82" s="151">
        <f t="shared" si="24"/>
        <v>86.978999999999999</v>
      </c>
      <c r="AD82" s="152">
        <f t="shared" si="25"/>
        <v>16.730000000000004</v>
      </c>
      <c r="AE82" s="152">
        <v>18.684000000000001</v>
      </c>
      <c r="AF82" s="137"/>
      <c r="AG82" s="149">
        <f t="shared" si="26"/>
        <v>83.343000000000004</v>
      </c>
      <c r="AH82" s="150">
        <f t="shared" si="17"/>
        <v>18.684000000000001</v>
      </c>
      <c r="AI82" s="150">
        <v>-2.7250000000000001</v>
      </c>
      <c r="AJ82" s="150">
        <f t="shared" si="27"/>
        <v>99.302000000000007</v>
      </c>
      <c r="AK82" s="150">
        <f t="shared" si="28"/>
        <v>104.60542219181453</v>
      </c>
      <c r="AL82" s="150">
        <f t="shared" si="29"/>
        <v>3.6360000000000001</v>
      </c>
      <c r="AM82" s="150">
        <f t="shared" si="30"/>
        <v>108.24142219181452</v>
      </c>
      <c r="AN82" s="150">
        <f t="shared" si="31"/>
        <v>105.779</v>
      </c>
      <c r="AO82" s="151">
        <f t="shared" si="32"/>
        <v>19.902999999999999</v>
      </c>
      <c r="AP82" s="138"/>
      <c r="AQ82" s="149">
        <v>0</v>
      </c>
      <c r="AR82" s="151">
        <f t="shared" si="33"/>
        <v>105.779</v>
      </c>
    </row>
    <row r="83" spans="1:44">
      <c r="A83" s="139" t="s">
        <v>302</v>
      </c>
      <c r="B83" s="140">
        <v>10256</v>
      </c>
      <c r="C83" s="141" t="s">
        <v>303</v>
      </c>
      <c r="D83" s="142">
        <v>361</v>
      </c>
      <c r="E83" s="143">
        <v>45.968000000000004</v>
      </c>
      <c r="F83" s="144">
        <v>0</v>
      </c>
      <c r="G83" s="144">
        <v>-0.125</v>
      </c>
      <c r="H83" s="144">
        <v>-5.4619999999999997</v>
      </c>
      <c r="I83" s="144">
        <v>5.0670000000000002</v>
      </c>
      <c r="J83" s="144">
        <f t="shared" si="18"/>
        <v>45.448</v>
      </c>
      <c r="K83" s="144">
        <v>5.3999999999999999E-2</v>
      </c>
      <c r="L83" s="145">
        <f t="shared" si="19"/>
        <v>45.502000000000002</v>
      </c>
      <c r="M83" s="143">
        <v>46.665999999999997</v>
      </c>
      <c r="N83" s="144">
        <v>0</v>
      </c>
      <c r="O83" s="144">
        <v>-0.45600000000000002</v>
      </c>
      <c r="P83" s="144">
        <v>-5.0730000000000004</v>
      </c>
      <c r="Q83" s="144">
        <v>5.0670000000000002</v>
      </c>
      <c r="R83" s="144">
        <f t="shared" si="20"/>
        <v>46.203999999999994</v>
      </c>
      <c r="S83" s="144">
        <v>0.128</v>
      </c>
      <c r="T83" s="145">
        <f t="shared" si="21"/>
        <v>46.332000000000001</v>
      </c>
      <c r="U83" s="146">
        <f t="shared" si="22"/>
        <v>45.917000000000002</v>
      </c>
      <c r="V83" s="143">
        <v>46.113999999999997</v>
      </c>
      <c r="W83" s="144">
        <v>0</v>
      </c>
      <c r="X83" s="144">
        <v>0.127</v>
      </c>
      <c r="Y83" s="144">
        <v>-5.1680000000000001</v>
      </c>
      <c r="Z83" s="144">
        <v>5.157</v>
      </c>
      <c r="AA83" s="144">
        <f t="shared" si="23"/>
        <v>46.230000000000004</v>
      </c>
      <c r="AB83" s="144">
        <v>0.39800000000000002</v>
      </c>
      <c r="AC83" s="145">
        <f t="shared" si="24"/>
        <v>46.628</v>
      </c>
      <c r="AD83" s="146">
        <f t="shared" si="25"/>
        <v>0</v>
      </c>
      <c r="AE83" s="146">
        <v>0</v>
      </c>
      <c r="AF83" s="147"/>
      <c r="AG83" s="143">
        <f t="shared" si="26"/>
        <v>46.230000000000004</v>
      </c>
      <c r="AH83" s="144">
        <f t="shared" si="17"/>
        <v>0</v>
      </c>
      <c r="AI83" s="144">
        <v>-0.52200000000000002</v>
      </c>
      <c r="AJ83" s="144">
        <f t="shared" si="27"/>
        <v>45.708000000000006</v>
      </c>
      <c r="AK83" s="144">
        <f t="shared" si="28"/>
        <v>48.149127283876041</v>
      </c>
      <c r="AL83" s="144">
        <f t="shared" si="29"/>
        <v>0.39800000000000002</v>
      </c>
      <c r="AM83" s="144">
        <f t="shared" si="30"/>
        <v>48.547127283876044</v>
      </c>
      <c r="AN83" s="144">
        <f t="shared" si="31"/>
        <v>47.442999999999998</v>
      </c>
      <c r="AO83" s="145">
        <f t="shared" si="32"/>
        <v>0</v>
      </c>
      <c r="AP83" s="148"/>
      <c r="AQ83" s="143">
        <v>0</v>
      </c>
      <c r="AR83" s="145">
        <f t="shared" si="33"/>
        <v>47.442999999999998</v>
      </c>
    </row>
    <row r="84" spans="1:44">
      <c r="A84" s="129" t="s">
        <v>304</v>
      </c>
      <c r="B84" s="130">
        <v>10080</v>
      </c>
      <c r="C84" s="131" t="s">
        <v>305</v>
      </c>
      <c r="D84" s="132">
        <v>158</v>
      </c>
      <c r="E84" s="149">
        <v>7.2590000000000003</v>
      </c>
      <c r="F84" s="150">
        <v>0</v>
      </c>
      <c r="G84" s="150">
        <v>-6.3E-2</v>
      </c>
      <c r="H84" s="150">
        <v>0</v>
      </c>
      <c r="I84" s="150">
        <v>0</v>
      </c>
      <c r="J84" s="150">
        <f t="shared" si="18"/>
        <v>7.1960000000000006</v>
      </c>
      <c r="K84" s="150">
        <v>1E-3</v>
      </c>
      <c r="L84" s="151">
        <f t="shared" si="19"/>
        <v>7.1970000000000001</v>
      </c>
      <c r="M84" s="149">
        <v>7.423</v>
      </c>
      <c r="N84" s="150">
        <v>0</v>
      </c>
      <c r="O84" s="150">
        <v>-0.184</v>
      </c>
      <c r="P84" s="150">
        <v>0</v>
      </c>
      <c r="Q84" s="150">
        <v>0</v>
      </c>
      <c r="R84" s="150">
        <f t="shared" si="20"/>
        <v>7.2389999999999999</v>
      </c>
      <c r="S84" s="150">
        <v>8.0000000000000002E-3</v>
      </c>
      <c r="T84" s="151">
        <f t="shared" si="21"/>
        <v>7.2469999999999999</v>
      </c>
      <c r="U84" s="152">
        <f t="shared" si="22"/>
        <v>7.2220000000000004</v>
      </c>
      <c r="V84" s="149">
        <v>7.25</v>
      </c>
      <c r="W84" s="150">
        <v>0</v>
      </c>
      <c r="X84" s="150">
        <v>7.3999999999999996E-2</v>
      </c>
      <c r="Y84" s="150">
        <v>0</v>
      </c>
      <c r="Z84" s="150">
        <v>0</v>
      </c>
      <c r="AA84" s="150">
        <f t="shared" si="23"/>
        <v>7.3239999999999998</v>
      </c>
      <c r="AB84" s="150">
        <v>8.9999999999999993E-3</v>
      </c>
      <c r="AC84" s="151">
        <f t="shared" si="24"/>
        <v>7.3330000000000002</v>
      </c>
      <c r="AD84" s="152">
        <f t="shared" si="25"/>
        <v>0</v>
      </c>
      <c r="AE84" s="152">
        <v>0</v>
      </c>
      <c r="AF84" s="137"/>
      <c r="AG84" s="149">
        <f t="shared" si="26"/>
        <v>7.3239999999999998</v>
      </c>
      <c r="AH84" s="150">
        <f t="shared" si="17"/>
        <v>0</v>
      </c>
      <c r="AI84" s="150">
        <v>0</v>
      </c>
      <c r="AJ84" s="150">
        <f t="shared" si="27"/>
        <v>7.3239999999999998</v>
      </c>
      <c r="AK84" s="150">
        <f t="shared" si="28"/>
        <v>7.7151528884901568</v>
      </c>
      <c r="AL84" s="150">
        <f t="shared" si="29"/>
        <v>8.9999999999999993E-3</v>
      </c>
      <c r="AM84" s="150">
        <f t="shared" si="30"/>
        <v>7.7241528884901571</v>
      </c>
      <c r="AN84" s="150">
        <f t="shared" si="31"/>
        <v>7.548</v>
      </c>
      <c r="AO84" s="151">
        <f t="shared" si="32"/>
        <v>0</v>
      </c>
      <c r="AP84" s="138"/>
      <c r="AQ84" s="149">
        <v>0</v>
      </c>
      <c r="AR84" s="151">
        <f t="shared" si="33"/>
        <v>7.548</v>
      </c>
    </row>
    <row r="85" spans="1:44">
      <c r="A85" s="139" t="s">
        <v>306</v>
      </c>
      <c r="B85" s="140">
        <v>10081</v>
      </c>
      <c r="C85" s="141" t="s">
        <v>37</v>
      </c>
      <c r="D85" s="142">
        <v>159</v>
      </c>
      <c r="E85" s="143">
        <v>13.161</v>
      </c>
      <c r="F85" s="144">
        <v>0</v>
      </c>
      <c r="G85" s="144">
        <v>-9.8000000000000004E-2</v>
      </c>
      <c r="H85" s="144">
        <v>0</v>
      </c>
      <c r="I85" s="144">
        <v>0</v>
      </c>
      <c r="J85" s="144">
        <f t="shared" si="18"/>
        <v>13.062999999999999</v>
      </c>
      <c r="K85" s="144">
        <v>5.0000000000000001E-3</v>
      </c>
      <c r="L85" s="145">
        <f t="shared" si="19"/>
        <v>13.068</v>
      </c>
      <c r="M85" s="143">
        <v>13.218</v>
      </c>
      <c r="N85" s="144">
        <v>0</v>
      </c>
      <c r="O85" s="144">
        <v>-5.7000000000000002E-2</v>
      </c>
      <c r="P85" s="144">
        <v>0</v>
      </c>
      <c r="Q85" s="144">
        <v>0</v>
      </c>
      <c r="R85" s="144">
        <f t="shared" si="20"/>
        <v>13.161</v>
      </c>
      <c r="S85" s="144">
        <v>2.5000000000000001E-2</v>
      </c>
      <c r="T85" s="145">
        <f t="shared" si="21"/>
        <v>13.186</v>
      </c>
      <c r="U85" s="146">
        <f t="shared" si="22"/>
        <v>13.127000000000001</v>
      </c>
      <c r="V85" s="143">
        <v>12.647</v>
      </c>
      <c r="W85" s="144">
        <v>0</v>
      </c>
      <c r="X85" s="144">
        <v>0.183</v>
      </c>
      <c r="Y85" s="144">
        <v>0</v>
      </c>
      <c r="Z85" s="144">
        <v>0</v>
      </c>
      <c r="AA85" s="144">
        <f t="shared" si="23"/>
        <v>12.83</v>
      </c>
      <c r="AB85" s="144">
        <v>0.20300000000000001</v>
      </c>
      <c r="AC85" s="145">
        <f t="shared" si="24"/>
        <v>13.032999999999999</v>
      </c>
      <c r="AD85" s="146">
        <f t="shared" si="25"/>
        <v>9.4000000000001194E-2</v>
      </c>
      <c r="AE85" s="146">
        <v>0</v>
      </c>
      <c r="AF85" s="147"/>
      <c r="AG85" s="143">
        <f t="shared" si="26"/>
        <v>12.83</v>
      </c>
      <c r="AH85" s="144">
        <f t="shared" si="17"/>
        <v>9.4000000000001194E-2</v>
      </c>
      <c r="AI85" s="144">
        <v>-2.7250000000000001</v>
      </c>
      <c r="AJ85" s="144">
        <f t="shared" si="27"/>
        <v>10.199000000000002</v>
      </c>
      <c r="AK85" s="144">
        <f t="shared" si="28"/>
        <v>10.743698021533469</v>
      </c>
      <c r="AL85" s="144">
        <f t="shared" si="29"/>
        <v>0.20300000000000001</v>
      </c>
      <c r="AM85" s="144">
        <f t="shared" si="30"/>
        <v>10.946698021533468</v>
      </c>
      <c r="AN85" s="144">
        <f t="shared" si="31"/>
        <v>10.698</v>
      </c>
      <c r="AO85" s="145">
        <f t="shared" si="32"/>
        <v>9.9000000000000005E-2</v>
      </c>
      <c r="AP85" s="148"/>
      <c r="AQ85" s="143">
        <v>0</v>
      </c>
      <c r="AR85" s="145">
        <f t="shared" si="33"/>
        <v>10.698</v>
      </c>
    </row>
    <row r="86" spans="1:44">
      <c r="A86" s="129" t="s">
        <v>307</v>
      </c>
      <c r="B86" s="130">
        <v>10082</v>
      </c>
      <c r="C86" s="131" t="s">
        <v>308</v>
      </c>
      <c r="D86" s="132">
        <v>161</v>
      </c>
      <c r="E86" s="149">
        <v>0.10100000000000001</v>
      </c>
      <c r="F86" s="150">
        <v>0</v>
      </c>
      <c r="G86" s="150">
        <v>0</v>
      </c>
      <c r="H86" s="150">
        <v>0</v>
      </c>
      <c r="I86" s="150">
        <v>0</v>
      </c>
      <c r="J86" s="150">
        <f t="shared" si="18"/>
        <v>0.10100000000000001</v>
      </c>
      <c r="K86" s="150">
        <v>0</v>
      </c>
      <c r="L86" s="151">
        <f t="shared" si="19"/>
        <v>0.10100000000000001</v>
      </c>
      <c r="M86" s="149">
        <v>0.106</v>
      </c>
      <c r="N86" s="150">
        <v>0</v>
      </c>
      <c r="O86" s="150">
        <v>-1E-3</v>
      </c>
      <c r="P86" s="150">
        <v>0</v>
      </c>
      <c r="Q86" s="150">
        <v>0</v>
      </c>
      <c r="R86" s="150">
        <f t="shared" si="20"/>
        <v>0.105</v>
      </c>
      <c r="S86" s="150">
        <v>0</v>
      </c>
      <c r="T86" s="151">
        <f t="shared" si="21"/>
        <v>0.105</v>
      </c>
      <c r="U86" s="152">
        <f t="shared" si="22"/>
        <v>0.10299999999999999</v>
      </c>
      <c r="V86" s="149">
        <v>0.11799999999999999</v>
      </c>
      <c r="W86" s="150">
        <v>0</v>
      </c>
      <c r="X86" s="150">
        <v>-1E-3</v>
      </c>
      <c r="Y86" s="150">
        <v>0</v>
      </c>
      <c r="Z86" s="150">
        <v>0</v>
      </c>
      <c r="AA86" s="150">
        <f t="shared" si="23"/>
        <v>0.11699999999999999</v>
      </c>
      <c r="AB86" s="150">
        <v>0</v>
      </c>
      <c r="AC86" s="151">
        <f t="shared" si="24"/>
        <v>0.11700000000000001</v>
      </c>
      <c r="AD86" s="152">
        <f t="shared" si="25"/>
        <v>0</v>
      </c>
      <c r="AE86" s="152">
        <v>0</v>
      </c>
      <c r="AF86" s="137"/>
      <c r="AG86" s="149">
        <f t="shared" si="26"/>
        <v>0.11699999999999999</v>
      </c>
      <c r="AH86" s="150">
        <f t="shared" si="17"/>
        <v>0</v>
      </c>
      <c r="AI86" s="150">
        <v>0</v>
      </c>
      <c r="AJ86" s="150">
        <f t="shared" si="27"/>
        <v>0.11699999999999999</v>
      </c>
      <c r="AK86" s="150">
        <f t="shared" si="28"/>
        <v>0.12324861932732772</v>
      </c>
      <c r="AL86" s="150">
        <f t="shared" si="29"/>
        <v>0</v>
      </c>
      <c r="AM86" s="150">
        <f t="shared" si="30"/>
        <v>0.12324861932732772</v>
      </c>
      <c r="AN86" s="150">
        <f t="shared" si="31"/>
        <v>0.12</v>
      </c>
      <c r="AO86" s="151">
        <f t="shared" si="32"/>
        <v>0</v>
      </c>
      <c r="AP86" s="138"/>
      <c r="AQ86" s="149">
        <v>0</v>
      </c>
      <c r="AR86" s="151">
        <f t="shared" si="33"/>
        <v>0.12</v>
      </c>
    </row>
    <row r="87" spans="1:44">
      <c r="A87" s="139" t="s">
        <v>309</v>
      </c>
      <c r="B87" s="140">
        <v>10258</v>
      </c>
      <c r="C87" s="141" t="s">
        <v>38</v>
      </c>
      <c r="D87" s="142">
        <v>483</v>
      </c>
      <c r="E87" s="143">
        <v>45.988999999999997</v>
      </c>
      <c r="F87" s="144">
        <v>0</v>
      </c>
      <c r="G87" s="144">
        <v>-3.2000000000000001E-2</v>
      </c>
      <c r="H87" s="144">
        <v>-2.1960000000000002</v>
      </c>
      <c r="I87" s="144">
        <v>2.343</v>
      </c>
      <c r="J87" s="144">
        <f t="shared" si="18"/>
        <v>46.103999999999999</v>
      </c>
      <c r="K87" s="144">
        <v>2.9000000000000001E-2</v>
      </c>
      <c r="L87" s="145">
        <f t="shared" si="19"/>
        <v>46.133000000000003</v>
      </c>
      <c r="M87" s="143">
        <v>47.851999999999997</v>
      </c>
      <c r="N87" s="144">
        <v>0</v>
      </c>
      <c r="O87" s="144">
        <v>0.29099999999999998</v>
      </c>
      <c r="P87" s="144">
        <v>-2.4820000000000002</v>
      </c>
      <c r="Q87" s="144">
        <v>2.3439999999999999</v>
      </c>
      <c r="R87" s="144">
        <f t="shared" si="20"/>
        <v>48.004999999999995</v>
      </c>
      <c r="S87" s="144">
        <v>6.7000000000000004E-2</v>
      </c>
      <c r="T87" s="145">
        <f t="shared" si="21"/>
        <v>48.072000000000003</v>
      </c>
      <c r="U87" s="146">
        <f t="shared" si="22"/>
        <v>47.103000000000002</v>
      </c>
      <c r="V87" s="143">
        <v>45.429000000000002</v>
      </c>
      <c r="W87" s="144">
        <v>0</v>
      </c>
      <c r="X87" s="144">
        <v>0.157</v>
      </c>
      <c r="Y87" s="144">
        <v>-1.8160000000000001</v>
      </c>
      <c r="Z87" s="144">
        <v>2.327</v>
      </c>
      <c r="AA87" s="144">
        <f t="shared" si="23"/>
        <v>46.096999999999994</v>
      </c>
      <c r="AB87" s="144">
        <v>0.62</v>
      </c>
      <c r="AC87" s="145">
        <f t="shared" si="24"/>
        <v>46.716999999999999</v>
      </c>
      <c r="AD87" s="146">
        <f t="shared" si="25"/>
        <v>0.38600000000000279</v>
      </c>
      <c r="AE87" s="146">
        <v>0</v>
      </c>
      <c r="AF87" s="147"/>
      <c r="AG87" s="143">
        <f t="shared" si="26"/>
        <v>46.096999999999994</v>
      </c>
      <c r="AH87" s="144">
        <f t="shared" si="17"/>
        <v>0.38600000000000279</v>
      </c>
      <c r="AI87" s="144">
        <v>-9.6549999999999994</v>
      </c>
      <c r="AJ87" s="144">
        <f t="shared" si="27"/>
        <v>36.827999999999996</v>
      </c>
      <c r="AK87" s="144">
        <f t="shared" si="28"/>
        <v>38.794873099032692</v>
      </c>
      <c r="AL87" s="144">
        <f t="shared" si="29"/>
        <v>0.62</v>
      </c>
      <c r="AM87" s="144">
        <f t="shared" si="30"/>
        <v>39.41487309903269</v>
      </c>
      <c r="AN87" s="144">
        <f t="shared" si="31"/>
        <v>38.518000000000001</v>
      </c>
      <c r="AO87" s="145">
        <f t="shared" si="32"/>
        <v>0.40400000000000003</v>
      </c>
      <c r="AP87" s="148"/>
      <c r="AQ87" s="143">
        <v>0</v>
      </c>
      <c r="AR87" s="145">
        <f t="shared" si="33"/>
        <v>38.518000000000001</v>
      </c>
    </row>
    <row r="88" spans="1:44">
      <c r="A88" s="129" t="s">
        <v>310</v>
      </c>
      <c r="B88" s="130">
        <v>10259</v>
      </c>
      <c r="C88" s="131" t="s">
        <v>311</v>
      </c>
      <c r="D88" s="132">
        <v>364</v>
      </c>
      <c r="E88" s="149">
        <v>25.013999999999999</v>
      </c>
      <c r="F88" s="150">
        <v>0</v>
      </c>
      <c r="G88" s="150">
        <v>1.7000000000000001E-2</v>
      </c>
      <c r="H88" s="150">
        <v>0</v>
      </c>
      <c r="I88" s="150">
        <v>0</v>
      </c>
      <c r="J88" s="150">
        <f t="shared" si="18"/>
        <v>25.030999999999999</v>
      </c>
      <c r="K88" s="150">
        <v>0</v>
      </c>
      <c r="L88" s="151">
        <f t="shared" si="19"/>
        <v>25.030999999999999</v>
      </c>
      <c r="M88" s="149">
        <v>25.532</v>
      </c>
      <c r="N88" s="150">
        <v>0</v>
      </c>
      <c r="O88" s="150">
        <v>-5.3999999999999999E-2</v>
      </c>
      <c r="P88" s="150">
        <v>0</v>
      </c>
      <c r="Q88" s="150">
        <v>0</v>
      </c>
      <c r="R88" s="150">
        <f t="shared" si="20"/>
        <v>25.478000000000002</v>
      </c>
      <c r="S88" s="150">
        <v>0</v>
      </c>
      <c r="T88" s="151">
        <f t="shared" si="21"/>
        <v>25.478000000000002</v>
      </c>
      <c r="U88" s="152">
        <f t="shared" si="22"/>
        <v>25.254999999999999</v>
      </c>
      <c r="V88" s="149">
        <v>25.949000000000002</v>
      </c>
      <c r="W88" s="150">
        <v>0</v>
      </c>
      <c r="X88" s="150">
        <v>0.04</v>
      </c>
      <c r="Y88" s="150">
        <v>0</v>
      </c>
      <c r="Z88" s="150">
        <v>0</v>
      </c>
      <c r="AA88" s="150">
        <f t="shared" si="23"/>
        <v>25.989000000000001</v>
      </c>
      <c r="AB88" s="150">
        <v>0.64900000000000002</v>
      </c>
      <c r="AC88" s="151">
        <f t="shared" si="24"/>
        <v>26.638000000000002</v>
      </c>
      <c r="AD88" s="152">
        <f t="shared" si="25"/>
        <v>0</v>
      </c>
      <c r="AE88" s="152">
        <v>0</v>
      </c>
      <c r="AF88" s="137"/>
      <c r="AG88" s="149">
        <f t="shared" si="26"/>
        <v>25.989000000000001</v>
      </c>
      <c r="AH88" s="150">
        <f t="shared" si="17"/>
        <v>0</v>
      </c>
      <c r="AI88" s="150">
        <v>0</v>
      </c>
      <c r="AJ88" s="150">
        <f t="shared" si="27"/>
        <v>25.989000000000001</v>
      </c>
      <c r="AK88" s="150">
        <f t="shared" si="28"/>
        <v>27.376994595708723</v>
      </c>
      <c r="AL88" s="150">
        <f t="shared" si="29"/>
        <v>0.64900000000000002</v>
      </c>
      <c r="AM88" s="150">
        <f t="shared" si="30"/>
        <v>28.025994595708724</v>
      </c>
      <c r="AN88" s="150">
        <f t="shared" si="31"/>
        <v>27.388000000000002</v>
      </c>
      <c r="AO88" s="151">
        <f t="shared" si="32"/>
        <v>0</v>
      </c>
      <c r="AP88" s="138"/>
      <c r="AQ88" s="149">
        <v>0</v>
      </c>
      <c r="AR88" s="151">
        <f t="shared" si="33"/>
        <v>27.388000000000002</v>
      </c>
    </row>
    <row r="89" spans="1:44">
      <c r="A89" s="139" t="s">
        <v>312</v>
      </c>
      <c r="B89" s="140">
        <v>10260</v>
      </c>
      <c r="C89" s="141" t="s">
        <v>313</v>
      </c>
      <c r="D89" s="142">
        <v>366</v>
      </c>
      <c r="E89" s="143">
        <v>25.847000000000001</v>
      </c>
      <c r="F89" s="144">
        <v>0</v>
      </c>
      <c r="G89" s="144">
        <v>-0.185</v>
      </c>
      <c r="H89" s="144">
        <v>0</v>
      </c>
      <c r="I89" s="144">
        <v>0</v>
      </c>
      <c r="J89" s="144">
        <f t="shared" si="18"/>
        <v>25.662000000000003</v>
      </c>
      <c r="K89" s="144">
        <v>1E-3</v>
      </c>
      <c r="L89" s="145">
        <f t="shared" si="19"/>
        <v>25.663</v>
      </c>
      <c r="M89" s="143">
        <v>25.98</v>
      </c>
      <c r="N89" s="144">
        <v>0</v>
      </c>
      <c r="O89" s="144">
        <v>-0.34599999999999997</v>
      </c>
      <c r="P89" s="144">
        <v>0</v>
      </c>
      <c r="Q89" s="144">
        <v>0</v>
      </c>
      <c r="R89" s="144">
        <f t="shared" si="20"/>
        <v>25.634</v>
      </c>
      <c r="S89" s="144">
        <v>1E-3</v>
      </c>
      <c r="T89" s="145">
        <f t="shared" si="21"/>
        <v>25.635000000000002</v>
      </c>
      <c r="U89" s="146">
        <f t="shared" si="22"/>
        <v>25.649000000000001</v>
      </c>
      <c r="V89" s="143">
        <v>25.661999999999999</v>
      </c>
      <c r="W89" s="144">
        <v>0</v>
      </c>
      <c r="X89" s="144">
        <v>0.18</v>
      </c>
      <c r="Y89" s="144">
        <v>0</v>
      </c>
      <c r="Z89" s="144">
        <v>0</v>
      </c>
      <c r="AA89" s="144">
        <f t="shared" si="23"/>
        <v>25.841999999999999</v>
      </c>
      <c r="AB89" s="144">
        <v>7.5999999999999998E-2</v>
      </c>
      <c r="AC89" s="145">
        <f t="shared" si="24"/>
        <v>25.917999999999999</v>
      </c>
      <c r="AD89" s="146">
        <f t="shared" si="25"/>
        <v>0</v>
      </c>
      <c r="AE89" s="146">
        <v>0</v>
      </c>
      <c r="AF89" s="147"/>
      <c r="AG89" s="143">
        <f t="shared" si="26"/>
        <v>25.841999999999999</v>
      </c>
      <c r="AH89" s="144">
        <f t="shared" si="17"/>
        <v>0</v>
      </c>
      <c r="AI89" s="144">
        <v>0</v>
      </c>
      <c r="AJ89" s="144">
        <f t="shared" si="27"/>
        <v>25.841999999999999</v>
      </c>
      <c r="AK89" s="144">
        <f t="shared" si="28"/>
        <v>27.222143766297464</v>
      </c>
      <c r="AL89" s="144">
        <f t="shared" si="29"/>
        <v>7.5999999999999998E-2</v>
      </c>
      <c r="AM89" s="144">
        <f t="shared" si="30"/>
        <v>27.298143766297464</v>
      </c>
      <c r="AN89" s="144">
        <f t="shared" si="31"/>
        <v>26.677</v>
      </c>
      <c r="AO89" s="145">
        <f t="shared" si="32"/>
        <v>0</v>
      </c>
      <c r="AP89" s="148"/>
      <c r="AQ89" s="143">
        <v>0</v>
      </c>
      <c r="AR89" s="145">
        <f t="shared" si="33"/>
        <v>26.677</v>
      </c>
    </row>
    <row r="90" spans="1:44">
      <c r="A90" s="129" t="s">
        <v>314</v>
      </c>
      <c r="B90" s="130">
        <v>10083</v>
      </c>
      <c r="C90" s="131" t="s">
        <v>315</v>
      </c>
      <c r="D90" s="132">
        <v>163</v>
      </c>
      <c r="E90" s="149">
        <v>7.8369999999999997</v>
      </c>
      <c r="F90" s="150">
        <v>0</v>
      </c>
      <c r="G90" s="150">
        <v>-2.7E-2</v>
      </c>
      <c r="H90" s="150">
        <v>0</v>
      </c>
      <c r="I90" s="150">
        <v>0</v>
      </c>
      <c r="J90" s="150">
        <f t="shared" si="18"/>
        <v>7.81</v>
      </c>
      <c r="K90" s="150">
        <v>0.01</v>
      </c>
      <c r="L90" s="151">
        <f t="shared" si="19"/>
        <v>7.82</v>
      </c>
      <c r="M90" s="149">
        <v>8.2759999999999998</v>
      </c>
      <c r="N90" s="150">
        <v>0</v>
      </c>
      <c r="O90" s="150">
        <v>-0.248</v>
      </c>
      <c r="P90" s="150">
        <v>0</v>
      </c>
      <c r="Q90" s="150">
        <v>0</v>
      </c>
      <c r="R90" s="150">
        <f t="shared" si="20"/>
        <v>8.0280000000000005</v>
      </c>
      <c r="S90" s="150">
        <v>0.02</v>
      </c>
      <c r="T90" s="151">
        <f t="shared" si="21"/>
        <v>8.048</v>
      </c>
      <c r="U90" s="152">
        <f t="shared" si="22"/>
        <v>7.9340000000000002</v>
      </c>
      <c r="V90" s="149">
        <v>8.0120000000000005</v>
      </c>
      <c r="W90" s="150">
        <v>0</v>
      </c>
      <c r="X90" s="150">
        <v>7.9000000000000001E-2</v>
      </c>
      <c r="Y90" s="150">
        <v>0</v>
      </c>
      <c r="Z90" s="150">
        <v>0</v>
      </c>
      <c r="AA90" s="150">
        <f t="shared" si="23"/>
        <v>8.0910000000000011</v>
      </c>
      <c r="AB90" s="150">
        <v>0.16300000000000001</v>
      </c>
      <c r="AC90" s="151">
        <f t="shared" si="24"/>
        <v>8.2539999999999996</v>
      </c>
      <c r="AD90" s="152">
        <f t="shared" si="25"/>
        <v>0</v>
      </c>
      <c r="AE90" s="152">
        <v>0</v>
      </c>
      <c r="AF90" s="137"/>
      <c r="AG90" s="149">
        <f t="shared" si="26"/>
        <v>8.0910000000000011</v>
      </c>
      <c r="AH90" s="150">
        <f t="shared" si="17"/>
        <v>0</v>
      </c>
      <c r="AI90" s="150">
        <v>0</v>
      </c>
      <c r="AJ90" s="150">
        <f t="shared" si="27"/>
        <v>8.0910000000000011</v>
      </c>
      <c r="AK90" s="150">
        <f t="shared" si="28"/>
        <v>8.5231160596359725</v>
      </c>
      <c r="AL90" s="150">
        <f t="shared" si="29"/>
        <v>0.16300000000000001</v>
      </c>
      <c r="AM90" s="150">
        <f t="shared" si="30"/>
        <v>8.6861160596359728</v>
      </c>
      <c r="AN90" s="150">
        <f t="shared" si="31"/>
        <v>8.4879999999999995</v>
      </c>
      <c r="AO90" s="151">
        <f t="shared" si="32"/>
        <v>0</v>
      </c>
      <c r="AP90" s="138"/>
      <c r="AQ90" s="149">
        <v>0</v>
      </c>
      <c r="AR90" s="151">
        <f t="shared" si="33"/>
        <v>8.4879999999999995</v>
      </c>
    </row>
    <row r="91" spans="1:44">
      <c r="A91" s="139" t="s">
        <v>316</v>
      </c>
      <c r="B91" s="140">
        <v>10273</v>
      </c>
      <c r="C91" s="141" t="s">
        <v>317</v>
      </c>
      <c r="D91" s="142">
        <v>367</v>
      </c>
      <c r="E91" s="143">
        <v>5.798</v>
      </c>
      <c r="F91" s="144">
        <v>0</v>
      </c>
      <c r="G91" s="144">
        <v>-0.14199999999999999</v>
      </c>
      <c r="H91" s="144">
        <v>-1.768</v>
      </c>
      <c r="I91" s="144">
        <v>1.7050000000000001</v>
      </c>
      <c r="J91" s="144">
        <f t="shared" si="18"/>
        <v>5.593</v>
      </c>
      <c r="K91" s="144">
        <v>1.0999999999999999E-2</v>
      </c>
      <c r="L91" s="145">
        <f t="shared" si="19"/>
        <v>5.6040000000000001</v>
      </c>
      <c r="M91" s="143">
        <v>5.7169999999999996</v>
      </c>
      <c r="N91" s="144">
        <v>0</v>
      </c>
      <c r="O91" s="144">
        <v>-0.22900000000000001</v>
      </c>
      <c r="P91" s="144">
        <v>-1.72</v>
      </c>
      <c r="Q91" s="144">
        <v>1.7370000000000001</v>
      </c>
      <c r="R91" s="144">
        <f t="shared" si="20"/>
        <v>5.5049999999999999</v>
      </c>
      <c r="S91" s="144">
        <v>3.1E-2</v>
      </c>
      <c r="T91" s="145">
        <f t="shared" si="21"/>
        <v>5.5359999999999996</v>
      </c>
      <c r="U91" s="146">
        <f t="shared" si="22"/>
        <v>5.57</v>
      </c>
      <c r="V91" s="143">
        <v>5.3979999999999997</v>
      </c>
      <c r="W91" s="144">
        <v>0</v>
      </c>
      <c r="X91" s="144">
        <v>5.0000000000000001E-3</v>
      </c>
      <c r="Y91" s="144">
        <v>-1.401</v>
      </c>
      <c r="Z91" s="144">
        <v>1.7170000000000001</v>
      </c>
      <c r="AA91" s="144">
        <f t="shared" si="23"/>
        <v>5.7189999999999994</v>
      </c>
      <c r="AB91" s="144">
        <v>8.4000000000000005E-2</v>
      </c>
      <c r="AC91" s="145">
        <f t="shared" si="24"/>
        <v>5.8029999999999999</v>
      </c>
      <c r="AD91" s="146">
        <f t="shared" si="25"/>
        <v>0</v>
      </c>
      <c r="AE91" s="146">
        <v>0</v>
      </c>
      <c r="AF91" s="147"/>
      <c r="AG91" s="143">
        <f t="shared" si="26"/>
        <v>5.7189999999999994</v>
      </c>
      <c r="AH91" s="144">
        <f t="shared" si="17"/>
        <v>0</v>
      </c>
      <c r="AI91" s="144">
        <v>0</v>
      </c>
      <c r="AJ91" s="144">
        <f t="shared" si="27"/>
        <v>5.7189999999999994</v>
      </c>
      <c r="AK91" s="144">
        <f t="shared" si="28"/>
        <v>6.0244346489998915</v>
      </c>
      <c r="AL91" s="144">
        <f t="shared" si="29"/>
        <v>8.4000000000000005E-2</v>
      </c>
      <c r="AM91" s="144">
        <f t="shared" si="30"/>
        <v>6.1084346489998911</v>
      </c>
      <c r="AN91" s="144">
        <f t="shared" si="31"/>
        <v>5.9690000000000003</v>
      </c>
      <c r="AO91" s="145">
        <f t="shared" si="32"/>
        <v>0</v>
      </c>
      <c r="AP91" s="148"/>
      <c r="AQ91" s="143">
        <v>0</v>
      </c>
      <c r="AR91" s="145">
        <f t="shared" si="33"/>
        <v>5.9690000000000003</v>
      </c>
    </row>
    <row r="92" spans="1:44">
      <c r="A92" s="129" t="s">
        <v>318</v>
      </c>
      <c r="B92" s="130">
        <v>10279</v>
      </c>
      <c r="C92" s="131" t="s">
        <v>319</v>
      </c>
      <c r="D92" s="132">
        <v>262</v>
      </c>
      <c r="E92" s="149">
        <v>61.213000000000001</v>
      </c>
      <c r="F92" s="150">
        <v>0</v>
      </c>
      <c r="G92" s="150">
        <v>-0.11600000000000001</v>
      </c>
      <c r="H92" s="150">
        <v>0</v>
      </c>
      <c r="I92" s="150">
        <v>0</v>
      </c>
      <c r="J92" s="150">
        <f t="shared" si="18"/>
        <v>61.097000000000001</v>
      </c>
      <c r="K92" s="150">
        <v>2.5000000000000001E-2</v>
      </c>
      <c r="L92" s="151">
        <f t="shared" si="19"/>
        <v>61.122</v>
      </c>
      <c r="M92" s="149">
        <v>65.72</v>
      </c>
      <c r="N92" s="150">
        <v>0</v>
      </c>
      <c r="O92" s="150">
        <v>-0.41699999999999998</v>
      </c>
      <c r="P92" s="150">
        <v>0</v>
      </c>
      <c r="Q92" s="150">
        <v>0</v>
      </c>
      <c r="R92" s="150">
        <f t="shared" si="20"/>
        <v>65.302999999999997</v>
      </c>
      <c r="S92" s="150">
        <v>0.128</v>
      </c>
      <c r="T92" s="151">
        <f t="shared" si="21"/>
        <v>65.430999999999997</v>
      </c>
      <c r="U92" s="152">
        <f t="shared" si="22"/>
        <v>63.277000000000001</v>
      </c>
      <c r="V92" s="149">
        <v>67.671999999999997</v>
      </c>
      <c r="W92" s="150">
        <v>0</v>
      </c>
      <c r="X92" s="150">
        <v>3.2000000000000001E-2</v>
      </c>
      <c r="Y92" s="150">
        <v>0</v>
      </c>
      <c r="Z92" s="150">
        <v>0</v>
      </c>
      <c r="AA92" s="150">
        <f t="shared" si="23"/>
        <v>67.703999999999994</v>
      </c>
      <c r="AB92" s="150">
        <v>0.38900000000000001</v>
      </c>
      <c r="AC92" s="151">
        <f t="shared" si="24"/>
        <v>68.093000000000004</v>
      </c>
      <c r="AD92" s="152">
        <f t="shared" si="25"/>
        <v>0</v>
      </c>
      <c r="AE92" s="152">
        <v>0</v>
      </c>
      <c r="AF92" s="137"/>
      <c r="AG92" s="149">
        <f t="shared" si="26"/>
        <v>67.703999999999994</v>
      </c>
      <c r="AH92" s="150">
        <f t="shared" si="17"/>
        <v>0</v>
      </c>
      <c r="AI92" s="150">
        <v>-4.2220000000000004</v>
      </c>
      <c r="AJ92" s="150">
        <f t="shared" si="27"/>
        <v>63.481999999999992</v>
      </c>
      <c r="AK92" s="150">
        <f t="shared" si="28"/>
        <v>66.872383351601869</v>
      </c>
      <c r="AL92" s="150">
        <f t="shared" si="29"/>
        <v>0.38900000000000001</v>
      </c>
      <c r="AM92" s="150">
        <f t="shared" si="30"/>
        <v>67.261383351601864</v>
      </c>
      <c r="AN92" s="150">
        <f t="shared" si="31"/>
        <v>65.730999999999995</v>
      </c>
      <c r="AO92" s="151">
        <f t="shared" si="32"/>
        <v>0</v>
      </c>
      <c r="AP92" s="138"/>
      <c r="AQ92" s="149">
        <v>0</v>
      </c>
      <c r="AR92" s="151">
        <f t="shared" si="33"/>
        <v>65.730999999999995</v>
      </c>
    </row>
    <row r="93" spans="1:44">
      <c r="A93" s="139" t="s">
        <v>320</v>
      </c>
      <c r="B93" s="140">
        <v>10278</v>
      </c>
      <c r="C93" s="141" t="s">
        <v>321</v>
      </c>
      <c r="D93" s="142">
        <v>370</v>
      </c>
      <c r="E93" s="143">
        <v>37.884999999999998</v>
      </c>
      <c r="F93" s="144">
        <v>0</v>
      </c>
      <c r="G93" s="144">
        <v>-0.375</v>
      </c>
      <c r="H93" s="144">
        <v>0</v>
      </c>
      <c r="I93" s="144">
        <v>0</v>
      </c>
      <c r="J93" s="144">
        <f t="shared" si="18"/>
        <v>37.51</v>
      </c>
      <c r="K93" s="144">
        <v>3.5000000000000003E-2</v>
      </c>
      <c r="L93" s="145">
        <f t="shared" si="19"/>
        <v>37.545000000000002</v>
      </c>
      <c r="M93" s="143">
        <v>38.725000000000001</v>
      </c>
      <c r="N93" s="144">
        <v>0</v>
      </c>
      <c r="O93" s="144">
        <v>-1.169</v>
      </c>
      <c r="P93" s="144">
        <v>0</v>
      </c>
      <c r="Q93" s="144">
        <v>0</v>
      </c>
      <c r="R93" s="144">
        <f t="shared" si="20"/>
        <v>37.556000000000004</v>
      </c>
      <c r="S93" s="144">
        <v>7.0999999999999994E-2</v>
      </c>
      <c r="T93" s="145">
        <f t="shared" si="21"/>
        <v>37.627000000000002</v>
      </c>
      <c r="U93" s="146">
        <f t="shared" si="22"/>
        <v>37.585999999999999</v>
      </c>
      <c r="V93" s="143">
        <v>37.871000000000002</v>
      </c>
      <c r="W93" s="144">
        <v>0</v>
      </c>
      <c r="X93" s="144">
        <v>2.8000000000000001E-2</v>
      </c>
      <c r="Y93" s="144">
        <v>0</v>
      </c>
      <c r="Z93" s="144">
        <v>0</v>
      </c>
      <c r="AA93" s="144">
        <f t="shared" si="23"/>
        <v>37.899000000000001</v>
      </c>
      <c r="AB93" s="144">
        <v>0.192</v>
      </c>
      <c r="AC93" s="145">
        <f t="shared" si="24"/>
        <v>38.091000000000001</v>
      </c>
      <c r="AD93" s="146">
        <f t="shared" si="25"/>
        <v>0</v>
      </c>
      <c r="AE93" s="146">
        <v>0</v>
      </c>
      <c r="AF93" s="147"/>
      <c r="AG93" s="143">
        <f t="shared" si="26"/>
        <v>37.899000000000001</v>
      </c>
      <c r="AH93" s="144">
        <f t="shared" si="17"/>
        <v>0</v>
      </c>
      <c r="AI93" s="144">
        <v>-2.66</v>
      </c>
      <c r="AJ93" s="144">
        <f t="shared" si="27"/>
        <v>35.239000000000004</v>
      </c>
      <c r="AK93" s="144">
        <f t="shared" si="28"/>
        <v>37.121009371587199</v>
      </c>
      <c r="AL93" s="144">
        <f t="shared" si="29"/>
        <v>0.192</v>
      </c>
      <c r="AM93" s="144">
        <f t="shared" si="30"/>
        <v>37.313009371587199</v>
      </c>
      <c r="AN93" s="144">
        <f t="shared" si="31"/>
        <v>36.463999999999999</v>
      </c>
      <c r="AO93" s="145">
        <f t="shared" si="32"/>
        <v>0</v>
      </c>
      <c r="AP93" s="148"/>
      <c r="AQ93" s="143">
        <v>0</v>
      </c>
      <c r="AR93" s="145">
        <f t="shared" si="33"/>
        <v>36.463999999999999</v>
      </c>
    </row>
    <row r="94" spans="1:44">
      <c r="A94" s="129" t="s">
        <v>322</v>
      </c>
      <c r="B94" s="130">
        <v>10284</v>
      </c>
      <c r="C94" s="131" t="s">
        <v>323</v>
      </c>
      <c r="D94" s="132">
        <v>372</v>
      </c>
      <c r="E94" s="149">
        <v>9.6210000000000004</v>
      </c>
      <c r="F94" s="150">
        <v>0</v>
      </c>
      <c r="G94" s="150">
        <v>-0.15</v>
      </c>
      <c r="H94" s="150">
        <v>0</v>
      </c>
      <c r="I94" s="150">
        <v>0</v>
      </c>
      <c r="J94" s="150">
        <f t="shared" si="18"/>
        <v>9.4710000000000001</v>
      </c>
      <c r="K94" s="150">
        <v>3.7999999999999999E-2</v>
      </c>
      <c r="L94" s="151">
        <f t="shared" si="19"/>
        <v>9.5090000000000003</v>
      </c>
      <c r="M94" s="149">
        <v>10.077</v>
      </c>
      <c r="N94" s="150">
        <v>0</v>
      </c>
      <c r="O94" s="150">
        <v>-0.44</v>
      </c>
      <c r="P94" s="150">
        <v>0</v>
      </c>
      <c r="Q94" s="150">
        <v>0</v>
      </c>
      <c r="R94" s="150">
        <f t="shared" si="20"/>
        <v>9.6370000000000005</v>
      </c>
      <c r="S94" s="150">
        <v>5.8000000000000003E-2</v>
      </c>
      <c r="T94" s="151">
        <f t="shared" si="21"/>
        <v>9.6950000000000003</v>
      </c>
      <c r="U94" s="152">
        <f t="shared" si="22"/>
        <v>9.6020000000000003</v>
      </c>
      <c r="V94" s="149">
        <v>9.76</v>
      </c>
      <c r="W94" s="150">
        <v>0</v>
      </c>
      <c r="X94" s="150">
        <v>0.14199999999999999</v>
      </c>
      <c r="Y94" s="150">
        <v>0</v>
      </c>
      <c r="Z94" s="150">
        <v>0</v>
      </c>
      <c r="AA94" s="150">
        <f t="shared" si="23"/>
        <v>9.9019999999999992</v>
      </c>
      <c r="AB94" s="150">
        <v>0.11899999999999999</v>
      </c>
      <c r="AC94" s="151">
        <f t="shared" si="24"/>
        <v>10.021000000000001</v>
      </c>
      <c r="AD94" s="152">
        <f t="shared" si="25"/>
        <v>0</v>
      </c>
      <c r="AE94" s="152">
        <v>0</v>
      </c>
      <c r="AF94" s="137"/>
      <c r="AG94" s="149">
        <f t="shared" si="26"/>
        <v>9.9019999999999992</v>
      </c>
      <c r="AH94" s="150">
        <f t="shared" si="17"/>
        <v>0</v>
      </c>
      <c r="AI94" s="150">
        <v>0</v>
      </c>
      <c r="AJ94" s="150">
        <f t="shared" si="27"/>
        <v>9.9019999999999992</v>
      </c>
      <c r="AK94" s="150">
        <f t="shared" si="28"/>
        <v>10.430836141702557</v>
      </c>
      <c r="AL94" s="150">
        <f t="shared" si="29"/>
        <v>0.11899999999999999</v>
      </c>
      <c r="AM94" s="150">
        <f t="shared" si="30"/>
        <v>10.549836141702556</v>
      </c>
      <c r="AN94" s="150">
        <f t="shared" si="31"/>
        <v>10.31</v>
      </c>
      <c r="AO94" s="151">
        <f t="shared" si="32"/>
        <v>0</v>
      </c>
      <c r="AP94" s="138"/>
      <c r="AQ94" s="149">
        <v>0</v>
      </c>
      <c r="AR94" s="151">
        <f t="shared" si="33"/>
        <v>10.31</v>
      </c>
    </row>
    <row r="95" spans="1:44">
      <c r="A95" s="139" t="s">
        <v>324</v>
      </c>
      <c r="B95" s="140">
        <v>10286</v>
      </c>
      <c r="C95" s="141" t="s">
        <v>39</v>
      </c>
      <c r="D95" s="142">
        <v>266</v>
      </c>
      <c r="E95" s="143">
        <v>75.593000000000004</v>
      </c>
      <c r="F95" s="144">
        <v>0</v>
      </c>
      <c r="G95" s="144">
        <v>-2.2909999999999999</v>
      </c>
      <c r="H95" s="144">
        <v>-8.157</v>
      </c>
      <c r="I95" s="144">
        <v>8.2799999999999994</v>
      </c>
      <c r="J95" s="144">
        <f t="shared" si="18"/>
        <v>73.425000000000011</v>
      </c>
      <c r="K95" s="144">
        <v>0.109</v>
      </c>
      <c r="L95" s="145">
        <f t="shared" si="19"/>
        <v>73.534000000000006</v>
      </c>
      <c r="M95" s="143">
        <v>77.86</v>
      </c>
      <c r="N95" s="144">
        <v>0</v>
      </c>
      <c r="O95" s="144">
        <v>-3.9350000000000001</v>
      </c>
      <c r="P95" s="144">
        <v>-8.1910000000000007</v>
      </c>
      <c r="Q95" s="144">
        <v>8.2799999999999994</v>
      </c>
      <c r="R95" s="144">
        <f t="shared" si="20"/>
        <v>74.013999999999996</v>
      </c>
      <c r="S95" s="144">
        <v>0.29099999999999998</v>
      </c>
      <c r="T95" s="145">
        <f t="shared" si="21"/>
        <v>74.305000000000007</v>
      </c>
      <c r="U95" s="146">
        <f t="shared" si="22"/>
        <v>73.92</v>
      </c>
      <c r="V95" s="143">
        <v>69.634</v>
      </c>
      <c r="W95" s="144">
        <v>0</v>
      </c>
      <c r="X95" s="144">
        <v>7.2999999999999995E-2</v>
      </c>
      <c r="Y95" s="144">
        <v>-8.4879999999999995</v>
      </c>
      <c r="Z95" s="144">
        <v>8.4209999999999994</v>
      </c>
      <c r="AA95" s="144">
        <f t="shared" si="23"/>
        <v>69.639999999999986</v>
      </c>
      <c r="AB95" s="144">
        <v>0.67800000000000005</v>
      </c>
      <c r="AC95" s="145">
        <f t="shared" si="24"/>
        <v>70.317999999999998</v>
      </c>
      <c r="AD95" s="146">
        <f t="shared" si="25"/>
        <v>3.6020000000000039</v>
      </c>
      <c r="AE95" s="146">
        <v>0</v>
      </c>
      <c r="AF95" s="147"/>
      <c r="AG95" s="143">
        <f t="shared" si="26"/>
        <v>69.639999999999986</v>
      </c>
      <c r="AH95" s="144">
        <f t="shared" si="17"/>
        <v>3.6020000000000039</v>
      </c>
      <c r="AI95" s="144">
        <v>-25.628</v>
      </c>
      <c r="AJ95" s="144">
        <f t="shared" si="27"/>
        <v>47.61399999999999</v>
      </c>
      <c r="AK95" s="144">
        <f t="shared" si="28"/>
        <v>50.156921031208391</v>
      </c>
      <c r="AL95" s="144">
        <f t="shared" si="29"/>
        <v>0.67800000000000005</v>
      </c>
      <c r="AM95" s="144">
        <f t="shared" si="30"/>
        <v>50.834921031208388</v>
      </c>
      <c r="AN95" s="144">
        <f t="shared" si="31"/>
        <v>49.677999999999997</v>
      </c>
      <c r="AO95" s="145">
        <f t="shared" si="32"/>
        <v>3.758</v>
      </c>
      <c r="AP95" s="148"/>
      <c r="AQ95" s="143">
        <v>0</v>
      </c>
      <c r="AR95" s="145">
        <f t="shared" si="33"/>
        <v>49.677999999999997</v>
      </c>
    </row>
    <row r="96" spans="1:44">
      <c r="A96" s="129" t="s">
        <v>325</v>
      </c>
      <c r="B96" s="130">
        <v>10285</v>
      </c>
      <c r="C96" s="131" t="s">
        <v>326</v>
      </c>
      <c r="D96" s="132">
        <v>373</v>
      </c>
      <c r="E96" s="149">
        <v>6.6020000000000003</v>
      </c>
      <c r="F96" s="150">
        <v>0</v>
      </c>
      <c r="G96" s="150">
        <v>-0.28299999999999997</v>
      </c>
      <c r="H96" s="150">
        <v>0</v>
      </c>
      <c r="I96" s="150">
        <v>0</v>
      </c>
      <c r="J96" s="150">
        <f t="shared" si="18"/>
        <v>6.319</v>
      </c>
      <c r="K96" s="150">
        <v>2.4E-2</v>
      </c>
      <c r="L96" s="151">
        <f t="shared" si="19"/>
        <v>6.343</v>
      </c>
      <c r="M96" s="149">
        <v>6.8419999999999996</v>
      </c>
      <c r="N96" s="150">
        <v>0</v>
      </c>
      <c r="O96" s="150">
        <v>-0.53500000000000003</v>
      </c>
      <c r="P96" s="150">
        <v>0</v>
      </c>
      <c r="Q96" s="150">
        <v>0</v>
      </c>
      <c r="R96" s="150">
        <f t="shared" si="20"/>
        <v>6.3069999999999995</v>
      </c>
      <c r="S96" s="150">
        <v>5.6000000000000001E-2</v>
      </c>
      <c r="T96" s="151">
        <f t="shared" si="21"/>
        <v>6.3630000000000004</v>
      </c>
      <c r="U96" s="152">
        <f t="shared" si="22"/>
        <v>6.3529999999999998</v>
      </c>
      <c r="V96" s="149">
        <v>6.3710000000000004</v>
      </c>
      <c r="W96" s="150">
        <v>0</v>
      </c>
      <c r="X96" s="150">
        <v>-0.04</v>
      </c>
      <c r="Y96" s="150">
        <v>0</v>
      </c>
      <c r="Z96" s="150">
        <v>0</v>
      </c>
      <c r="AA96" s="150">
        <f t="shared" si="23"/>
        <v>6.3310000000000004</v>
      </c>
      <c r="AB96" s="150">
        <v>0.111</v>
      </c>
      <c r="AC96" s="151">
        <f t="shared" si="24"/>
        <v>6.4420000000000002</v>
      </c>
      <c r="AD96" s="152">
        <f t="shared" si="25"/>
        <v>0</v>
      </c>
      <c r="AE96" s="152">
        <v>0</v>
      </c>
      <c r="AF96" s="137"/>
      <c r="AG96" s="149">
        <f t="shared" si="26"/>
        <v>6.3310000000000004</v>
      </c>
      <c r="AH96" s="150">
        <f t="shared" si="17"/>
        <v>0</v>
      </c>
      <c r="AI96" s="150">
        <v>0</v>
      </c>
      <c r="AJ96" s="150">
        <f t="shared" si="27"/>
        <v>6.3310000000000004</v>
      </c>
      <c r="AK96" s="150">
        <f t="shared" si="28"/>
        <v>6.6691197347120683</v>
      </c>
      <c r="AL96" s="150">
        <f t="shared" si="29"/>
        <v>0.111</v>
      </c>
      <c r="AM96" s="150">
        <f t="shared" si="30"/>
        <v>6.7801197347120681</v>
      </c>
      <c r="AN96" s="150">
        <f t="shared" si="31"/>
        <v>6.6260000000000003</v>
      </c>
      <c r="AO96" s="151">
        <f t="shared" si="32"/>
        <v>0</v>
      </c>
      <c r="AP96" s="138"/>
      <c r="AQ96" s="149">
        <v>0</v>
      </c>
      <c r="AR96" s="151">
        <f t="shared" si="33"/>
        <v>6.6260000000000003</v>
      </c>
    </row>
    <row r="97" spans="1:44">
      <c r="A97" s="139" t="s">
        <v>327</v>
      </c>
      <c r="B97" s="140">
        <v>10288</v>
      </c>
      <c r="C97" s="141" t="s">
        <v>40</v>
      </c>
      <c r="D97" s="142">
        <v>376</v>
      </c>
      <c r="E97" s="143">
        <v>24.41</v>
      </c>
      <c r="F97" s="144">
        <v>0</v>
      </c>
      <c r="G97" s="144">
        <v>-0.28399999999999997</v>
      </c>
      <c r="H97" s="144">
        <v>0</v>
      </c>
      <c r="I97" s="144">
        <v>0</v>
      </c>
      <c r="J97" s="144">
        <f t="shared" si="18"/>
        <v>24.126000000000001</v>
      </c>
      <c r="K97" s="144">
        <v>1.4999999999999999E-2</v>
      </c>
      <c r="L97" s="145">
        <f t="shared" si="19"/>
        <v>24.140999999999998</v>
      </c>
      <c r="M97" s="143">
        <v>25.36</v>
      </c>
      <c r="N97" s="144">
        <v>0</v>
      </c>
      <c r="O97" s="144">
        <v>-0.76100000000000001</v>
      </c>
      <c r="P97" s="144">
        <v>0</v>
      </c>
      <c r="Q97" s="144">
        <v>0</v>
      </c>
      <c r="R97" s="144">
        <f t="shared" si="20"/>
        <v>24.599</v>
      </c>
      <c r="S97" s="144">
        <v>7.5999999999999998E-2</v>
      </c>
      <c r="T97" s="145">
        <f t="shared" si="21"/>
        <v>24.675000000000001</v>
      </c>
      <c r="U97" s="146">
        <f t="shared" si="22"/>
        <v>24.408000000000001</v>
      </c>
      <c r="V97" s="143">
        <v>23.437000000000001</v>
      </c>
      <c r="W97" s="144">
        <v>0</v>
      </c>
      <c r="X97" s="144">
        <v>0.26400000000000001</v>
      </c>
      <c r="Y97" s="144">
        <v>0</v>
      </c>
      <c r="Z97" s="144">
        <v>0</v>
      </c>
      <c r="AA97" s="144">
        <f t="shared" si="23"/>
        <v>23.701000000000001</v>
      </c>
      <c r="AB97" s="144">
        <v>0.45600000000000002</v>
      </c>
      <c r="AC97" s="145">
        <f t="shared" si="24"/>
        <v>24.157</v>
      </c>
      <c r="AD97" s="146">
        <f t="shared" si="25"/>
        <v>0.25100000000000122</v>
      </c>
      <c r="AE97" s="146">
        <v>0</v>
      </c>
      <c r="AF97" s="147"/>
      <c r="AG97" s="143">
        <f t="shared" si="26"/>
        <v>23.701000000000001</v>
      </c>
      <c r="AH97" s="144">
        <f t="shared" si="17"/>
        <v>0.25100000000000122</v>
      </c>
      <c r="AI97" s="144">
        <v>0</v>
      </c>
      <c r="AJ97" s="144">
        <f t="shared" si="27"/>
        <v>23.952000000000002</v>
      </c>
      <c r="AK97" s="144">
        <f t="shared" si="28"/>
        <v>25.231204531009865</v>
      </c>
      <c r="AL97" s="144">
        <f t="shared" si="29"/>
        <v>0.45600000000000002</v>
      </c>
      <c r="AM97" s="144">
        <f t="shared" si="30"/>
        <v>25.687204531009865</v>
      </c>
      <c r="AN97" s="144">
        <f t="shared" si="31"/>
        <v>25.103000000000002</v>
      </c>
      <c r="AO97" s="145">
        <f t="shared" si="32"/>
        <v>0.26300000000000001</v>
      </c>
      <c r="AP97" s="148"/>
      <c r="AQ97" s="143">
        <v>0</v>
      </c>
      <c r="AR97" s="145">
        <f t="shared" si="33"/>
        <v>25.103000000000002</v>
      </c>
    </row>
    <row r="98" spans="1:44">
      <c r="A98" s="129" t="s">
        <v>328</v>
      </c>
      <c r="B98" s="130">
        <v>10291</v>
      </c>
      <c r="C98" s="131" t="s">
        <v>41</v>
      </c>
      <c r="D98" s="132">
        <v>371</v>
      </c>
      <c r="E98" s="149">
        <v>81.781000000000006</v>
      </c>
      <c r="F98" s="150">
        <v>0</v>
      </c>
      <c r="G98" s="150">
        <v>-0.115</v>
      </c>
      <c r="H98" s="150">
        <v>-6.633</v>
      </c>
      <c r="I98" s="150">
        <v>5.5419999999999998</v>
      </c>
      <c r="J98" s="150">
        <f t="shared" si="18"/>
        <v>80.575000000000017</v>
      </c>
      <c r="K98" s="150">
        <v>0.09</v>
      </c>
      <c r="L98" s="151">
        <f t="shared" si="19"/>
        <v>80.665000000000006</v>
      </c>
      <c r="M98" s="149">
        <v>80.433999999999997</v>
      </c>
      <c r="N98" s="150">
        <v>0</v>
      </c>
      <c r="O98" s="150">
        <v>-1.0549999999999999</v>
      </c>
      <c r="P98" s="150">
        <v>-5.8049999999999997</v>
      </c>
      <c r="Q98" s="150">
        <v>5.7629999999999999</v>
      </c>
      <c r="R98" s="150">
        <f t="shared" si="20"/>
        <v>79.336999999999989</v>
      </c>
      <c r="S98" s="150">
        <v>0.36299999999999999</v>
      </c>
      <c r="T98" s="151">
        <f t="shared" si="21"/>
        <v>79.7</v>
      </c>
      <c r="U98" s="152">
        <f t="shared" si="22"/>
        <v>80.183000000000007</v>
      </c>
      <c r="V98" s="149">
        <v>74.09</v>
      </c>
      <c r="W98" s="150">
        <v>0</v>
      </c>
      <c r="X98" s="150">
        <v>0.223</v>
      </c>
      <c r="Y98" s="150">
        <v>-4.8680000000000003</v>
      </c>
      <c r="Z98" s="150">
        <v>5.6870000000000003</v>
      </c>
      <c r="AA98" s="150">
        <f t="shared" si="23"/>
        <v>75.132000000000005</v>
      </c>
      <c r="AB98" s="150">
        <v>1.0649999999999999</v>
      </c>
      <c r="AC98" s="151">
        <f t="shared" si="24"/>
        <v>76.197000000000003</v>
      </c>
      <c r="AD98" s="152">
        <f t="shared" si="25"/>
        <v>3.9860000000000042</v>
      </c>
      <c r="AE98" s="152">
        <v>0</v>
      </c>
      <c r="AF98" s="137"/>
      <c r="AG98" s="149">
        <f t="shared" si="26"/>
        <v>75.132000000000005</v>
      </c>
      <c r="AH98" s="150">
        <f t="shared" si="17"/>
        <v>3.9860000000000042</v>
      </c>
      <c r="AI98" s="150">
        <v>0</v>
      </c>
      <c r="AJ98" s="150">
        <f t="shared" si="27"/>
        <v>79.118000000000009</v>
      </c>
      <c r="AK98" s="150">
        <f t="shared" si="28"/>
        <v>83.343455247346299</v>
      </c>
      <c r="AL98" s="150">
        <f t="shared" si="29"/>
        <v>1.0649999999999999</v>
      </c>
      <c r="AM98" s="150">
        <f t="shared" si="30"/>
        <v>84.408455247346296</v>
      </c>
      <c r="AN98" s="150">
        <f t="shared" si="31"/>
        <v>82.488</v>
      </c>
      <c r="AO98" s="151">
        <f t="shared" si="32"/>
        <v>4.1559999999999997</v>
      </c>
      <c r="AP98" s="138"/>
      <c r="AQ98" s="149">
        <v>0</v>
      </c>
      <c r="AR98" s="151">
        <f t="shared" si="33"/>
        <v>82.488</v>
      </c>
    </row>
    <row r="99" spans="1:44">
      <c r="A99" s="139" t="s">
        <v>329</v>
      </c>
      <c r="B99" s="140">
        <v>10294</v>
      </c>
      <c r="C99" s="141" t="s">
        <v>42</v>
      </c>
      <c r="D99" s="142">
        <v>270</v>
      </c>
      <c r="E99" s="143">
        <v>35.597000000000001</v>
      </c>
      <c r="F99" s="144">
        <v>0</v>
      </c>
      <c r="G99" s="144">
        <v>-0.65100000000000002</v>
      </c>
      <c r="H99" s="144">
        <v>0</v>
      </c>
      <c r="I99" s="144">
        <v>0</v>
      </c>
      <c r="J99" s="144">
        <f t="shared" si="18"/>
        <v>34.945999999999998</v>
      </c>
      <c r="K99" s="144">
        <v>1.2999999999999999E-2</v>
      </c>
      <c r="L99" s="145">
        <f t="shared" si="19"/>
        <v>34.959000000000003</v>
      </c>
      <c r="M99" s="143">
        <v>37.216999999999999</v>
      </c>
      <c r="N99" s="144">
        <v>0</v>
      </c>
      <c r="O99" s="144">
        <v>-1.677</v>
      </c>
      <c r="P99" s="144">
        <v>0</v>
      </c>
      <c r="Q99" s="144">
        <v>0</v>
      </c>
      <c r="R99" s="144">
        <f t="shared" si="20"/>
        <v>35.54</v>
      </c>
      <c r="S99" s="144">
        <v>0.31</v>
      </c>
      <c r="T99" s="145">
        <f t="shared" si="21"/>
        <v>35.85</v>
      </c>
      <c r="U99" s="146">
        <f t="shared" si="22"/>
        <v>35.405000000000001</v>
      </c>
      <c r="V99" s="143">
        <v>34.216000000000001</v>
      </c>
      <c r="W99" s="144">
        <v>0</v>
      </c>
      <c r="X99" s="144">
        <v>0.59699999999999998</v>
      </c>
      <c r="Y99" s="144">
        <v>0</v>
      </c>
      <c r="Z99" s="144">
        <v>0</v>
      </c>
      <c r="AA99" s="144">
        <f t="shared" si="23"/>
        <v>34.813000000000002</v>
      </c>
      <c r="AB99" s="144">
        <v>1.0549999999999999</v>
      </c>
      <c r="AC99" s="145">
        <f t="shared" si="24"/>
        <v>35.868000000000002</v>
      </c>
      <c r="AD99" s="146">
        <f t="shared" si="25"/>
        <v>0</v>
      </c>
      <c r="AE99" s="146">
        <v>0</v>
      </c>
      <c r="AF99" s="147"/>
      <c r="AG99" s="143">
        <f t="shared" si="26"/>
        <v>34.813000000000002</v>
      </c>
      <c r="AH99" s="144">
        <f t="shared" si="17"/>
        <v>0</v>
      </c>
      <c r="AI99" s="144">
        <v>0</v>
      </c>
      <c r="AJ99" s="144">
        <f t="shared" si="27"/>
        <v>34.813000000000002</v>
      </c>
      <c r="AK99" s="144">
        <f t="shared" si="28"/>
        <v>36.672257988395394</v>
      </c>
      <c r="AL99" s="144">
        <f t="shared" si="29"/>
        <v>1.0549999999999999</v>
      </c>
      <c r="AM99" s="144">
        <f t="shared" si="30"/>
        <v>37.727257988395394</v>
      </c>
      <c r="AN99" s="144">
        <f t="shared" si="31"/>
        <v>36.869</v>
      </c>
      <c r="AO99" s="145">
        <f t="shared" si="32"/>
        <v>0</v>
      </c>
      <c r="AP99" s="148"/>
      <c r="AQ99" s="143">
        <v>0</v>
      </c>
      <c r="AR99" s="145">
        <f t="shared" si="33"/>
        <v>36.869</v>
      </c>
    </row>
    <row r="100" spans="1:44">
      <c r="A100" s="129" t="s">
        <v>330</v>
      </c>
      <c r="B100" s="130">
        <v>10304</v>
      </c>
      <c r="C100" s="131" t="s">
        <v>43</v>
      </c>
      <c r="D100" s="132">
        <v>375</v>
      </c>
      <c r="E100" s="149">
        <v>13.949</v>
      </c>
      <c r="F100" s="150">
        <v>0</v>
      </c>
      <c r="G100" s="150">
        <v>-0.155</v>
      </c>
      <c r="H100" s="150">
        <v>0</v>
      </c>
      <c r="I100" s="150">
        <v>0</v>
      </c>
      <c r="J100" s="150">
        <f t="shared" si="18"/>
        <v>13.794</v>
      </c>
      <c r="K100" s="150">
        <v>0</v>
      </c>
      <c r="L100" s="151">
        <f t="shared" si="19"/>
        <v>13.794</v>
      </c>
      <c r="M100" s="149">
        <v>14.372</v>
      </c>
      <c r="N100" s="150">
        <v>0</v>
      </c>
      <c r="O100" s="150">
        <v>-0.437</v>
      </c>
      <c r="P100" s="150">
        <v>0</v>
      </c>
      <c r="Q100" s="150">
        <v>0</v>
      </c>
      <c r="R100" s="150">
        <f t="shared" si="20"/>
        <v>13.935</v>
      </c>
      <c r="S100" s="150">
        <v>2.1000000000000001E-2</v>
      </c>
      <c r="T100" s="151">
        <f t="shared" si="21"/>
        <v>13.956</v>
      </c>
      <c r="U100" s="152">
        <f t="shared" si="22"/>
        <v>13.875</v>
      </c>
      <c r="V100" s="149">
        <v>13.616</v>
      </c>
      <c r="W100" s="150">
        <v>0</v>
      </c>
      <c r="X100" s="150">
        <v>0.127</v>
      </c>
      <c r="Y100" s="150">
        <v>0</v>
      </c>
      <c r="Z100" s="150">
        <v>0</v>
      </c>
      <c r="AA100" s="150">
        <f t="shared" si="23"/>
        <v>13.743</v>
      </c>
      <c r="AB100" s="150">
        <v>0.106</v>
      </c>
      <c r="AC100" s="151">
        <f t="shared" si="24"/>
        <v>13.849</v>
      </c>
      <c r="AD100" s="152">
        <f t="shared" si="25"/>
        <v>2.5999999999999801E-2</v>
      </c>
      <c r="AE100" s="152">
        <v>0</v>
      </c>
      <c r="AF100" s="137"/>
      <c r="AG100" s="149">
        <f t="shared" si="26"/>
        <v>13.743</v>
      </c>
      <c r="AH100" s="150">
        <f t="shared" si="17"/>
        <v>2.5999999999999801E-2</v>
      </c>
      <c r="AI100" s="150">
        <v>0</v>
      </c>
      <c r="AJ100" s="150">
        <f t="shared" si="27"/>
        <v>13.769</v>
      </c>
      <c r="AK100" s="150">
        <f t="shared" si="28"/>
        <v>14.504361021521159</v>
      </c>
      <c r="AL100" s="150">
        <f t="shared" si="29"/>
        <v>0.106</v>
      </c>
      <c r="AM100" s="150">
        <f t="shared" si="30"/>
        <v>14.610361021521159</v>
      </c>
      <c r="AN100" s="150">
        <f t="shared" si="31"/>
        <v>14.278</v>
      </c>
      <c r="AO100" s="151">
        <f t="shared" si="32"/>
        <v>2.7E-2</v>
      </c>
      <c r="AP100" s="138"/>
      <c r="AQ100" s="149">
        <v>0</v>
      </c>
      <c r="AR100" s="151">
        <f t="shared" si="33"/>
        <v>14.278</v>
      </c>
    </row>
    <row r="101" spans="1:44">
      <c r="A101" s="139" t="s">
        <v>331</v>
      </c>
      <c r="B101" s="140">
        <v>10306</v>
      </c>
      <c r="C101" s="141" t="s">
        <v>44</v>
      </c>
      <c r="D101" s="142">
        <v>273</v>
      </c>
      <c r="E101" s="143">
        <v>108.44199999999999</v>
      </c>
      <c r="F101" s="144">
        <v>-52.677</v>
      </c>
      <c r="G101" s="144">
        <v>-0.41</v>
      </c>
      <c r="H101" s="144">
        <v>0</v>
      </c>
      <c r="I101" s="144">
        <v>0</v>
      </c>
      <c r="J101" s="144">
        <f t="shared" si="18"/>
        <v>55.354999999999997</v>
      </c>
      <c r="K101" s="144">
        <v>1.7000000000000001E-2</v>
      </c>
      <c r="L101" s="145">
        <f t="shared" si="19"/>
        <v>55.372</v>
      </c>
      <c r="M101" s="143">
        <v>113.931</v>
      </c>
      <c r="N101" s="144">
        <v>-56.000999999999998</v>
      </c>
      <c r="O101" s="144">
        <v>-1.3979999999999999</v>
      </c>
      <c r="P101" s="144">
        <v>0</v>
      </c>
      <c r="Q101" s="144">
        <v>0</v>
      </c>
      <c r="R101" s="144">
        <f t="shared" si="20"/>
        <v>56.531999999999996</v>
      </c>
      <c r="S101" s="144">
        <v>7.6999999999999999E-2</v>
      </c>
      <c r="T101" s="145">
        <f t="shared" si="21"/>
        <v>56.609000000000002</v>
      </c>
      <c r="U101" s="146">
        <f t="shared" si="22"/>
        <v>55.991</v>
      </c>
      <c r="V101" s="143">
        <v>113.449</v>
      </c>
      <c r="W101" s="144">
        <v>-60.765000000000001</v>
      </c>
      <c r="X101" s="144">
        <v>-0.13800000000000001</v>
      </c>
      <c r="Y101" s="144">
        <v>0</v>
      </c>
      <c r="Z101" s="144">
        <v>0</v>
      </c>
      <c r="AA101" s="144">
        <f t="shared" si="23"/>
        <v>52.545999999999999</v>
      </c>
      <c r="AB101" s="144">
        <v>0.27800000000000002</v>
      </c>
      <c r="AC101" s="145">
        <f t="shared" si="24"/>
        <v>52.823999999999998</v>
      </c>
      <c r="AD101" s="146">
        <f t="shared" si="25"/>
        <v>3.1670000000000016</v>
      </c>
      <c r="AE101" s="146">
        <v>0</v>
      </c>
      <c r="AF101" s="147"/>
      <c r="AG101" s="143">
        <f t="shared" si="26"/>
        <v>52.545999999999999</v>
      </c>
      <c r="AH101" s="144">
        <f t="shared" si="17"/>
        <v>3.1670000000000016</v>
      </c>
      <c r="AI101" s="144">
        <v>-27.375</v>
      </c>
      <c r="AJ101" s="144">
        <f t="shared" si="27"/>
        <v>28.338000000000001</v>
      </c>
      <c r="AK101" s="144">
        <f t="shared" si="28"/>
        <v>29.851447645280459</v>
      </c>
      <c r="AL101" s="144">
        <f t="shared" si="29"/>
        <v>0.27800000000000002</v>
      </c>
      <c r="AM101" s="144">
        <f t="shared" si="30"/>
        <v>30.129447645280457</v>
      </c>
      <c r="AN101" s="144">
        <f t="shared" si="31"/>
        <v>29.443999999999999</v>
      </c>
      <c r="AO101" s="145">
        <f t="shared" si="32"/>
        <v>3.2909999999999999</v>
      </c>
      <c r="AP101" s="148"/>
      <c r="AQ101" s="143">
        <v>0</v>
      </c>
      <c r="AR101" s="145">
        <f t="shared" si="33"/>
        <v>29.443999999999999</v>
      </c>
    </row>
    <row r="102" spans="1:44">
      <c r="A102" s="129" t="s">
        <v>332</v>
      </c>
      <c r="B102" s="130">
        <v>10307</v>
      </c>
      <c r="C102" s="131" t="s">
        <v>333</v>
      </c>
      <c r="D102" s="132">
        <v>374</v>
      </c>
      <c r="E102" s="149">
        <v>65.757999999999996</v>
      </c>
      <c r="F102" s="150">
        <v>0</v>
      </c>
      <c r="G102" s="150">
        <v>-0.73399999999999999</v>
      </c>
      <c r="H102" s="150">
        <v>0</v>
      </c>
      <c r="I102" s="150">
        <v>0</v>
      </c>
      <c r="J102" s="150">
        <f t="shared" si="18"/>
        <v>65.024000000000001</v>
      </c>
      <c r="K102" s="150">
        <v>2E-3</v>
      </c>
      <c r="L102" s="151">
        <f t="shared" si="19"/>
        <v>65.025999999999996</v>
      </c>
      <c r="M102" s="149">
        <v>70.53</v>
      </c>
      <c r="N102" s="150">
        <v>0</v>
      </c>
      <c r="O102" s="150">
        <v>-2.1829999999999998</v>
      </c>
      <c r="P102" s="150">
        <v>0</v>
      </c>
      <c r="Q102" s="150">
        <v>0</v>
      </c>
      <c r="R102" s="150">
        <f t="shared" si="20"/>
        <v>68.347000000000008</v>
      </c>
      <c r="S102" s="150">
        <v>0.38900000000000001</v>
      </c>
      <c r="T102" s="151">
        <f t="shared" si="21"/>
        <v>68.736000000000004</v>
      </c>
      <c r="U102" s="152">
        <f t="shared" si="22"/>
        <v>66.881</v>
      </c>
      <c r="V102" s="149">
        <v>68.879000000000005</v>
      </c>
      <c r="W102" s="150">
        <v>0</v>
      </c>
      <c r="X102" s="150">
        <v>0.68100000000000005</v>
      </c>
      <c r="Y102" s="150">
        <v>0</v>
      </c>
      <c r="Z102" s="150">
        <v>0</v>
      </c>
      <c r="AA102" s="150">
        <f t="shared" si="23"/>
        <v>69.56</v>
      </c>
      <c r="AB102" s="150">
        <v>1.4850000000000001</v>
      </c>
      <c r="AC102" s="151">
        <f t="shared" si="24"/>
        <v>71.045000000000002</v>
      </c>
      <c r="AD102" s="152">
        <f t="shared" si="25"/>
        <v>0</v>
      </c>
      <c r="AE102" s="152">
        <v>0</v>
      </c>
      <c r="AF102" s="137"/>
      <c r="AG102" s="149">
        <f t="shared" si="26"/>
        <v>69.56</v>
      </c>
      <c r="AH102" s="150">
        <f t="shared" si="17"/>
        <v>0</v>
      </c>
      <c r="AI102" s="150">
        <v>0</v>
      </c>
      <c r="AJ102" s="150">
        <f t="shared" si="27"/>
        <v>69.56</v>
      </c>
      <c r="AK102" s="150">
        <f t="shared" si="28"/>
        <v>73.274991114606138</v>
      </c>
      <c r="AL102" s="150">
        <f t="shared" si="29"/>
        <v>1.4850000000000001</v>
      </c>
      <c r="AM102" s="150">
        <f t="shared" si="30"/>
        <v>74.759991114606137</v>
      </c>
      <c r="AN102" s="150">
        <f t="shared" si="31"/>
        <v>73.058999999999997</v>
      </c>
      <c r="AO102" s="151">
        <f t="shared" si="32"/>
        <v>0</v>
      </c>
      <c r="AP102" s="138"/>
      <c r="AQ102" s="149">
        <v>0</v>
      </c>
      <c r="AR102" s="151">
        <f t="shared" si="33"/>
        <v>73.058999999999997</v>
      </c>
    </row>
    <row r="103" spans="1:44">
      <c r="A103" s="139" t="s">
        <v>334</v>
      </c>
      <c r="B103" s="140">
        <v>10086</v>
      </c>
      <c r="C103" s="141" t="s">
        <v>45</v>
      </c>
      <c r="D103" s="142">
        <v>167</v>
      </c>
      <c r="E103" s="143">
        <v>3.7879999999999998</v>
      </c>
      <c r="F103" s="144">
        <v>0</v>
      </c>
      <c r="G103" s="144">
        <v>1.6E-2</v>
      </c>
      <c r="H103" s="144">
        <v>0</v>
      </c>
      <c r="I103" s="144">
        <v>0</v>
      </c>
      <c r="J103" s="144">
        <f t="shared" si="18"/>
        <v>3.8039999999999998</v>
      </c>
      <c r="K103" s="144">
        <v>0</v>
      </c>
      <c r="L103" s="145">
        <f t="shared" si="19"/>
        <v>3.8039999999999998</v>
      </c>
      <c r="M103" s="143">
        <v>4.016</v>
      </c>
      <c r="N103" s="144">
        <v>0</v>
      </c>
      <c r="O103" s="144">
        <v>-4.7E-2</v>
      </c>
      <c r="P103" s="144">
        <v>0</v>
      </c>
      <c r="Q103" s="144">
        <v>0</v>
      </c>
      <c r="R103" s="144">
        <f t="shared" si="20"/>
        <v>3.9689999999999999</v>
      </c>
      <c r="S103" s="144">
        <v>0.01</v>
      </c>
      <c r="T103" s="145">
        <f t="shared" si="21"/>
        <v>3.9790000000000001</v>
      </c>
      <c r="U103" s="146">
        <f t="shared" si="22"/>
        <v>3.8919999999999999</v>
      </c>
      <c r="V103" s="143">
        <v>3.8119999999999998</v>
      </c>
      <c r="W103" s="144">
        <v>0</v>
      </c>
      <c r="X103" s="144">
        <v>1.2999999999999999E-2</v>
      </c>
      <c r="Y103" s="144">
        <v>0</v>
      </c>
      <c r="Z103" s="144">
        <v>0</v>
      </c>
      <c r="AA103" s="144">
        <f t="shared" si="23"/>
        <v>3.8249999999999997</v>
      </c>
      <c r="AB103" s="144">
        <v>5.7000000000000002E-2</v>
      </c>
      <c r="AC103" s="145">
        <f t="shared" si="24"/>
        <v>3.8820000000000001</v>
      </c>
      <c r="AD103" s="146">
        <f t="shared" si="25"/>
        <v>9.9999999999997868E-3</v>
      </c>
      <c r="AE103" s="146">
        <v>0</v>
      </c>
      <c r="AF103" s="147"/>
      <c r="AG103" s="143">
        <f t="shared" si="26"/>
        <v>3.8249999999999997</v>
      </c>
      <c r="AH103" s="144">
        <f t="shared" si="17"/>
        <v>9.9999999999997868E-3</v>
      </c>
      <c r="AI103" s="144">
        <v>0</v>
      </c>
      <c r="AJ103" s="144">
        <f t="shared" si="27"/>
        <v>3.8349999999999995</v>
      </c>
      <c r="AK103" s="144">
        <f t="shared" si="28"/>
        <v>4.0398158557290751</v>
      </c>
      <c r="AL103" s="144">
        <f t="shared" si="29"/>
        <v>5.7000000000000002E-2</v>
      </c>
      <c r="AM103" s="144">
        <f t="shared" si="30"/>
        <v>4.0968158557290755</v>
      </c>
      <c r="AN103" s="144">
        <f t="shared" si="31"/>
        <v>4.0039999999999996</v>
      </c>
      <c r="AO103" s="145">
        <f t="shared" si="32"/>
        <v>0.01</v>
      </c>
      <c r="AP103" s="148"/>
      <c r="AQ103" s="143">
        <v>0</v>
      </c>
      <c r="AR103" s="145">
        <f t="shared" si="33"/>
        <v>4.0039999999999996</v>
      </c>
    </row>
    <row r="104" spans="1:44">
      <c r="A104" s="129" t="s">
        <v>335</v>
      </c>
      <c r="B104" s="130">
        <v>10087</v>
      </c>
      <c r="C104" s="131" t="s">
        <v>336</v>
      </c>
      <c r="D104" s="132">
        <v>170</v>
      </c>
      <c r="E104" s="149">
        <v>82.144000000000005</v>
      </c>
      <c r="F104" s="150">
        <v>0</v>
      </c>
      <c r="G104" s="150">
        <v>-0.53600000000000003</v>
      </c>
      <c r="H104" s="150">
        <v>0</v>
      </c>
      <c r="I104" s="150">
        <v>0</v>
      </c>
      <c r="J104" s="150">
        <f t="shared" si="18"/>
        <v>81.608000000000004</v>
      </c>
      <c r="K104" s="150">
        <v>3.7999999999999999E-2</v>
      </c>
      <c r="L104" s="151">
        <f t="shared" si="19"/>
        <v>81.646000000000001</v>
      </c>
      <c r="M104" s="149">
        <v>82.677000000000007</v>
      </c>
      <c r="N104" s="150">
        <v>0</v>
      </c>
      <c r="O104" s="150">
        <v>-1.1879999999999999</v>
      </c>
      <c r="P104" s="150">
        <v>0</v>
      </c>
      <c r="Q104" s="150">
        <v>0</v>
      </c>
      <c r="R104" s="150">
        <f t="shared" si="20"/>
        <v>81.489000000000004</v>
      </c>
      <c r="S104" s="150">
        <v>0.311</v>
      </c>
      <c r="T104" s="151">
        <f t="shared" si="21"/>
        <v>81.8</v>
      </c>
      <c r="U104" s="152">
        <f t="shared" si="22"/>
        <v>81.722999999999999</v>
      </c>
      <c r="V104" s="149">
        <v>83.628</v>
      </c>
      <c r="W104" s="150">
        <v>0</v>
      </c>
      <c r="X104" s="150">
        <v>-0.20399999999999999</v>
      </c>
      <c r="Y104" s="150">
        <v>0</v>
      </c>
      <c r="Z104" s="150">
        <v>0</v>
      </c>
      <c r="AA104" s="150">
        <f t="shared" si="23"/>
        <v>83.424000000000007</v>
      </c>
      <c r="AB104" s="150">
        <v>0.89500000000000002</v>
      </c>
      <c r="AC104" s="151">
        <f t="shared" si="24"/>
        <v>84.319000000000003</v>
      </c>
      <c r="AD104" s="152">
        <f t="shared" si="25"/>
        <v>0</v>
      </c>
      <c r="AE104" s="152">
        <v>0</v>
      </c>
      <c r="AF104" s="137"/>
      <c r="AG104" s="149">
        <f t="shared" si="26"/>
        <v>83.424000000000007</v>
      </c>
      <c r="AH104" s="150">
        <f t="shared" si="17"/>
        <v>0</v>
      </c>
      <c r="AI104" s="150">
        <v>0</v>
      </c>
      <c r="AJ104" s="150">
        <f t="shared" si="27"/>
        <v>83.424000000000007</v>
      </c>
      <c r="AK104" s="150">
        <f t="shared" si="28"/>
        <v>87.879425801393083</v>
      </c>
      <c r="AL104" s="150">
        <f t="shared" si="29"/>
        <v>0.89500000000000002</v>
      </c>
      <c r="AM104" s="150">
        <f t="shared" si="30"/>
        <v>88.774425801393079</v>
      </c>
      <c r="AN104" s="150">
        <f t="shared" si="31"/>
        <v>86.754999999999995</v>
      </c>
      <c r="AO104" s="151">
        <f t="shared" si="32"/>
        <v>0</v>
      </c>
      <c r="AP104" s="138"/>
      <c r="AQ104" s="149">
        <v>0</v>
      </c>
      <c r="AR104" s="151">
        <f t="shared" si="33"/>
        <v>86.754999999999995</v>
      </c>
    </row>
    <row r="105" spans="1:44">
      <c r="A105" s="139" t="s">
        <v>337</v>
      </c>
      <c r="B105" s="140">
        <v>10706</v>
      </c>
      <c r="C105" s="141" t="s">
        <v>338</v>
      </c>
      <c r="D105" s="142">
        <v>10706</v>
      </c>
      <c r="E105" s="143">
        <v>16.492000000000001</v>
      </c>
      <c r="F105" s="144">
        <v>0</v>
      </c>
      <c r="G105" s="144">
        <v>-4.0000000000000001E-3</v>
      </c>
      <c r="H105" s="144">
        <v>0</v>
      </c>
      <c r="I105" s="144">
        <v>0</v>
      </c>
      <c r="J105" s="144">
        <f t="shared" si="18"/>
        <v>16.488</v>
      </c>
      <c r="K105" s="144">
        <v>0</v>
      </c>
      <c r="L105" s="145">
        <f t="shared" si="19"/>
        <v>16.488</v>
      </c>
      <c r="M105" s="143">
        <v>16.294</v>
      </c>
      <c r="N105" s="144">
        <v>0</v>
      </c>
      <c r="O105" s="144">
        <v>3.9E-2</v>
      </c>
      <c r="P105" s="144">
        <v>0</v>
      </c>
      <c r="Q105" s="144">
        <v>0</v>
      </c>
      <c r="R105" s="144">
        <f t="shared" si="20"/>
        <v>16.333000000000002</v>
      </c>
      <c r="S105" s="144">
        <v>0</v>
      </c>
      <c r="T105" s="145">
        <f t="shared" si="21"/>
        <v>16.332999999999998</v>
      </c>
      <c r="U105" s="146">
        <f t="shared" si="22"/>
        <v>16.411000000000001</v>
      </c>
      <c r="V105" s="143">
        <v>16.588000000000001</v>
      </c>
      <c r="W105" s="144">
        <v>0</v>
      </c>
      <c r="X105" s="144">
        <v>5.5E-2</v>
      </c>
      <c r="Y105" s="144">
        <v>0</v>
      </c>
      <c r="Z105" s="144">
        <v>0</v>
      </c>
      <c r="AA105" s="144">
        <f t="shared" si="23"/>
        <v>16.643000000000001</v>
      </c>
      <c r="AB105" s="144">
        <v>0.41199999999999998</v>
      </c>
      <c r="AC105" s="145">
        <f t="shared" si="24"/>
        <v>17.055</v>
      </c>
      <c r="AD105" s="146">
        <f t="shared" si="25"/>
        <v>0</v>
      </c>
      <c r="AE105" s="146">
        <v>0</v>
      </c>
      <c r="AF105" s="147"/>
      <c r="AG105" s="143">
        <f t="shared" si="26"/>
        <v>16.643000000000001</v>
      </c>
      <c r="AH105" s="144">
        <f t="shared" si="17"/>
        <v>0</v>
      </c>
      <c r="AI105" s="144">
        <v>0</v>
      </c>
      <c r="AJ105" s="144">
        <f t="shared" si="27"/>
        <v>16.643000000000001</v>
      </c>
      <c r="AK105" s="144">
        <f t="shared" si="28"/>
        <v>17.531852747561672</v>
      </c>
      <c r="AL105" s="144">
        <f t="shared" si="29"/>
        <v>0.41199999999999998</v>
      </c>
      <c r="AM105" s="144">
        <f t="shared" si="30"/>
        <v>17.943852747561671</v>
      </c>
      <c r="AN105" s="144">
        <f t="shared" si="31"/>
        <v>17.536000000000001</v>
      </c>
      <c r="AO105" s="145">
        <f t="shared" si="32"/>
        <v>0</v>
      </c>
      <c r="AP105" s="148"/>
      <c r="AQ105" s="143">
        <v>0</v>
      </c>
      <c r="AR105" s="145">
        <f t="shared" si="33"/>
        <v>17.536000000000001</v>
      </c>
    </row>
    <row r="106" spans="1:44">
      <c r="A106" s="129" t="s">
        <v>339</v>
      </c>
      <c r="B106" s="130">
        <v>10331</v>
      </c>
      <c r="C106" s="131" t="s">
        <v>46</v>
      </c>
      <c r="D106" s="132">
        <v>379</v>
      </c>
      <c r="E106" s="149">
        <v>38.101999999999997</v>
      </c>
      <c r="F106" s="150">
        <v>0</v>
      </c>
      <c r="G106" s="150">
        <v>-5.0000000000000001E-3</v>
      </c>
      <c r="H106" s="150">
        <v>-19.195</v>
      </c>
      <c r="I106" s="150">
        <v>17.777000000000001</v>
      </c>
      <c r="J106" s="150">
        <f t="shared" si="18"/>
        <v>36.678999999999995</v>
      </c>
      <c r="K106" s="150">
        <v>4.9000000000000002E-2</v>
      </c>
      <c r="L106" s="151">
        <f t="shared" si="19"/>
        <v>36.728000000000002</v>
      </c>
      <c r="M106" s="149">
        <v>41.063000000000002</v>
      </c>
      <c r="N106" s="150">
        <v>0</v>
      </c>
      <c r="O106" s="150">
        <v>-0.20799999999999999</v>
      </c>
      <c r="P106" s="150">
        <v>-20.338000000000001</v>
      </c>
      <c r="Q106" s="150">
        <v>17.777000000000001</v>
      </c>
      <c r="R106" s="150">
        <f t="shared" si="20"/>
        <v>38.294000000000004</v>
      </c>
      <c r="S106" s="150">
        <v>5.0999999999999997E-2</v>
      </c>
      <c r="T106" s="151">
        <f t="shared" si="21"/>
        <v>38.344999999999999</v>
      </c>
      <c r="U106" s="152">
        <f t="shared" si="22"/>
        <v>37.536999999999999</v>
      </c>
      <c r="V106" s="149">
        <v>32.712000000000003</v>
      </c>
      <c r="W106" s="150">
        <v>0</v>
      </c>
      <c r="X106" s="150">
        <v>-0.14199999999999999</v>
      </c>
      <c r="Y106" s="150">
        <v>-18.529</v>
      </c>
      <c r="Z106" s="150">
        <v>18.52</v>
      </c>
      <c r="AA106" s="150">
        <f t="shared" si="23"/>
        <v>32.561</v>
      </c>
      <c r="AB106" s="150">
        <v>0.16500000000000001</v>
      </c>
      <c r="AC106" s="151">
        <f t="shared" si="24"/>
        <v>32.725999999999999</v>
      </c>
      <c r="AD106" s="152">
        <f t="shared" si="25"/>
        <v>4.8109999999999999</v>
      </c>
      <c r="AE106" s="152">
        <v>0</v>
      </c>
      <c r="AF106" s="137"/>
      <c r="AG106" s="149">
        <f t="shared" si="26"/>
        <v>32.561</v>
      </c>
      <c r="AH106" s="150">
        <f t="shared" si="17"/>
        <v>4.8109999999999999</v>
      </c>
      <c r="AI106" s="150">
        <v>0</v>
      </c>
      <c r="AJ106" s="150">
        <f t="shared" si="27"/>
        <v>37.372</v>
      </c>
      <c r="AK106" s="150">
        <f t="shared" si="28"/>
        <v>39.367926508554632</v>
      </c>
      <c r="AL106" s="150">
        <f t="shared" si="29"/>
        <v>0.16500000000000001</v>
      </c>
      <c r="AM106" s="150">
        <f t="shared" si="30"/>
        <v>39.532926508554631</v>
      </c>
      <c r="AN106" s="150">
        <f t="shared" si="31"/>
        <v>38.633000000000003</v>
      </c>
      <c r="AO106" s="151">
        <f t="shared" si="32"/>
        <v>4.9729999999999999</v>
      </c>
      <c r="AP106" s="138"/>
      <c r="AQ106" s="149">
        <v>0</v>
      </c>
      <c r="AR106" s="151">
        <f t="shared" si="33"/>
        <v>38.633000000000003</v>
      </c>
    </row>
    <row r="107" spans="1:44">
      <c r="A107" s="139" t="s">
        <v>340</v>
      </c>
      <c r="B107" s="140">
        <v>10333</v>
      </c>
      <c r="C107" s="141" t="s">
        <v>341</v>
      </c>
      <c r="D107" s="142">
        <v>380</v>
      </c>
      <c r="E107" s="143">
        <v>17.044</v>
      </c>
      <c r="F107" s="144">
        <v>0</v>
      </c>
      <c r="G107" s="144">
        <v>6.0999999999999999E-2</v>
      </c>
      <c r="H107" s="144">
        <v>0</v>
      </c>
      <c r="I107" s="144">
        <v>0</v>
      </c>
      <c r="J107" s="144">
        <f t="shared" si="18"/>
        <v>17.105</v>
      </c>
      <c r="K107" s="144">
        <v>1E-3</v>
      </c>
      <c r="L107" s="145">
        <f t="shared" si="19"/>
        <v>17.106000000000002</v>
      </c>
      <c r="M107" s="143">
        <v>17.527999999999999</v>
      </c>
      <c r="N107" s="144">
        <v>0</v>
      </c>
      <c r="O107" s="144">
        <v>-2.1999999999999999E-2</v>
      </c>
      <c r="P107" s="144">
        <v>0</v>
      </c>
      <c r="Q107" s="144">
        <v>0</v>
      </c>
      <c r="R107" s="144">
        <f t="shared" si="20"/>
        <v>17.506</v>
      </c>
      <c r="S107" s="144">
        <v>2.1999999999999999E-2</v>
      </c>
      <c r="T107" s="145">
        <f t="shared" si="21"/>
        <v>17.527999999999999</v>
      </c>
      <c r="U107" s="146">
        <f t="shared" si="22"/>
        <v>17.317</v>
      </c>
      <c r="V107" s="143">
        <v>17.786000000000001</v>
      </c>
      <c r="W107" s="144">
        <v>0</v>
      </c>
      <c r="X107" s="144">
        <v>0.03</v>
      </c>
      <c r="Y107" s="144">
        <v>0</v>
      </c>
      <c r="Z107" s="144">
        <v>0</v>
      </c>
      <c r="AA107" s="144">
        <f t="shared" si="23"/>
        <v>17.816000000000003</v>
      </c>
      <c r="AB107" s="144">
        <v>0.46100000000000002</v>
      </c>
      <c r="AC107" s="145">
        <f t="shared" si="24"/>
        <v>18.277000000000001</v>
      </c>
      <c r="AD107" s="146">
        <f t="shared" si="25"/>
        <v>0</v>
      </c>
      <c r="AE107" s="146">
        <v>0</v>
      </c>
      <c r="AF107" s="147"/>
      <c r="AG107" s="143">
        <f t="shared" si="26"/>
        <v>17.816000000000003</v>
      </c>
      <c r="AH107" s="144">
        <f t="shared" si="17"/>
        <v>0</v>
      </c>
      <c r="AI107" s="144">
        <v>0</v>
      </c>
      <c r="AJ107" s="144">
        <f t="shared" si="27"/>
        <v>17.816000000000003</v>
      </c>
      <c r="AK107" s="144">
        <f t="shared" si="28"/>
        <v>18.767499161843343</v>
      </c>
      <c r="AL107" s="144">
        <f t="shared" si="29"/>
        <v>0.46100000000000002</v>
      </c>
      <c r="AM107" s="144">
        <f t="shared" si="30"/>
        <v>19.228499161843342</v>
      </c>
      <c r="AN107" s="144">
        <f t="shared" si="31"/>
        <v>18.791</v>
      </c>
      <c r="AO107" s="145">
        <f t="shared" si="32"/>
        <v>0</v>
      </c>
      <c r="AP107" s="148"/>
      <c r="AQ107" s="143">
        <v>0</v>
      </c>
      <c r="AR107" s="145">
        <f t="shared" si="33"/>
        <v>18.791</v>
      </c>
    </row>
    <row r="108" spans="1:44">
      <c r="A108" s="129" t="s">
        <v>342</v>
      </c>
      <c r="B108" s="130">
        <v>10089</v>
      </c>
      <c r="C108" s="131" t="s">
        <v>343</v>
      </c>
      <c r="D108" s="132">
        <v>175</v>
      </c>
      <c r="E108" s="149">
        <v>95.710999999999999</v>
      </c>
      <c r="F108" s="150">
        <v>0</v>
      </c>
      <c r="G108" s="150">
        <v>-0.79</v>
      </c>
      <c r="H108" s="150">
        <v>0</v>
      </c>
      <c r="I108" s="150">
        <v>0</v>
      </c>
      <c r="J108" s="150">
        <f t="shared" si="18"/>
        <v>94.920999999999992</v>
      </c>
      <c r="K108" s="150">
        <v>0.20499999999999999</v>
      </c>
      <c r="L108" s="151">
        <f t="shared" si="19"/>
        <v>95.126000000000005</v>
      </c>
      <c r="M108" s="149">
        <v>96.957999999999998</v>
      </c>
      <c r="N108" s="150">
        <v>0</v>
      </c>
      <c r="O108" s="150">
        <v>3.3000000000000002E-2</v>
      </c>
      <c r="P108" s="150">
        <v>0</v>
      </c>
      <c r="Q108" s="150">
        <v>0</v>
      </c>
      <c r="R108" s="150">
        <f t="shared" si="20"/>
        <v>96.991</v>
      </c>
      <c r="S108" s="150">
        <v>0.42399999999999999</v>
      </c>
      <c r="T108" s="151">
        <f t="shared" si="21"/>
        <v>97.415000000000006</v>
      </c>
      <c r="U108" s="152">
        <f t="shared" si="22"/>
        <v>96.271000000000001</v>
      </c>
      <c r="V108" s="149">
        <v>96.903999999999996</v>
      </c>
      <c r="W108" s="150">
        <v>0</v>
      </c>
      <c r="X108" s="150">
        <v>0.8</v>
      </c>
      <c r="Y108" s="150">
        <v>0</v>
      </c>
      <c r="Z108" s="150">
        <v>0</v>
      </c>
      <c r="AA108" s="150">
        <f t="shared" si="23"/>
        <v>97.703999999999994</v>
      </c>
      <c r="AB108" s="150">
        <v>2.0670000000000002</v>
      </c>
      <c r="AC108" s="151">
        <f t="shared" si="24"/>
        <v>99.771000000000001</v>
      </c>
      <c r="AD108" s="152">
        <f t="shared" si="25"/>
        <v>0</v>
      </c>
      <c r="AE108" s="152">
        <v>0</v>
      </c>
      <c r="AF108" s="137"/>
      <c r="AG108" s="149">
        <f t="shared" si="26"/>
        <v>97.703999999999994</v>
      </c>
      <c r="AH108" s="150">
        <f t="shared" si="17"/>
        <v>0</v>
      </c>
      <c r="AI108" s="150">
        <v>0</v>
      </c>
      <c r="AJ108" s="150">
        <f t="shared" si="27"/>
        <v>97.703999999999994</v>
      </c>
      <c r="AK108" s="150">
        <f t="shared" si="28"/>
        <v>102.92207780134383</v>
      </c>
      <c r="AL108" s="150">
        <f t="shared" si="29"/>
        <v>2.0670000000000002</v>
      </c>
      <c r="AM108" s="150">
        <f t="shared" si="30"/>
        <v>104.98907780134383</v>
      </c>
      <c r="AN108" s="150">
        <f t="shared" si="31"/>
        <v>102.6</v>
      </c>
      <c r="AO108" s="151">
        <f t="shared" si="32"/>
        <v>0</v>
      </c>
      <c r="AP108" s="138"/>
      <c r="AQ108" s="149">
        <v>0</v>
      </c>
      <c r="AR108" s="151">
        <f t="shared" si="33"/>
        <v>102.6</v>
      </c>
    </row>
    <row r="109" spans="1:44">
      <c r="A109" s="139" t="s">
        <v>344</v>
      </c>
      <c r="B109" s="140">
        <v>10338</v>
      </c>
      <c r="C109" s="141" t="s">
        <v>345</v>
      </c>
      <c r="D109" s="142">
        <v>381</v>
      </c>
      <c r="E109" s="143">
        <v>2.2530000000000001</v>
      </c>
      <c r="F109" s="144">
        <v>0</v>
      </c>
      <c r="G109" s="144">
        <v>-1.0999999999999999E-2</v>
      </c>
      <c r="H109" s="144">
        <v>-0.67500000000000004</v>
      </c>
      <c r="I109" s="144">
        <v>0.61</v>
      </c>
      <c r="J109" s="144">
        <f t="shared" si="18"/>
        <v>2.177</v>
      </c>
      <c r="K109" s="144">
        <v>2E-3</v>
      </c>
      <c r="L109" s="145">
        <f t="shared" si="19"/>
        <v>2.1789999999999998</v>
      </c>
      <c r="M109" s="143">
        <v>2.4249999999999998</v>
      </c>
      <c r="N109" s="144">
        <v>0</v>
      </c>
      <c r="O109" s="144">
        <v>-3.2000000000000001E-2</v>
      </c>
      <c r="P109" s="144">
        <v>-0.70099999999999996</v>
      </c>
      <c r="Q109" s="144">
        <v>0.61799999999999999</v>
      </c>
      <c r="R109" s="144">
        <f t="shared" si="20"/>
        <v>2.3099999999999996</v>
      </c>
      <c r="S109" s="144">
        <v>3.0000000000000001E-3</v>
      </c>
      <c r="T109" s="145">
        <f t="shared" si="21"/>
        <v>2.3130000000000002</v>
      </c>
      <c r="U109" s="146">
        <f t="shared" si="22"/>
        <v>2.246</v>
      </c>
      <c r="V109" s="143">
        <v>2.2530000000000001</v>
      </c>
      <c r="W109" s="144">
        <v>0</v>
      </c>
      <c r="X109" s="144">
        <v>-5.0000000000000001E-3</v>
      </c>
      <c r="Y109" s="144">
        <v>-0.56499999999999995</v>
      </c>
      <c r="Z109" s="144">
        <v>0.64500000000000002</v>
      </c>
      <c r="AA109" s="144">
        <f t="shared" si="23"/>
        <v>2.3280000000000003</v>
      </c>
      <c r="AB109" s="144">
        <v>1.2E-2</v>
      </c>
      <c r="AC109" s="145">
        <f t="shared" si="24"/>
        <v>2.34</v>
      </c>
      <c r="AD109" s="146">
        <f t="shared" si="25"/>
        <v>0</v>
      </c>
      <c r="AE109" s="146">
        <v>0</v>
      </c>
      <c r="AF109" s="147"/>
      <c r="AG109" s="143">
        <f t="shared" si="26"/>
        <v>2.3280000000000003</v>
      </c>
      <c r="AH109" s="144">
        <f t="shared" si="17"/>
        <v>0</v>
      </c>
      <c r="AI109" s="144">
        <v>0</v>
      </c>
      <c r="AJ109" s="144">
        <f t="shared" si="27"/>
        <v>2.3280000000000003</v>
      </c>
      <c r="AK109" s="144">
        <f t="shared" si="28"/>
        <v>2.4523315025129828</v>
      </c>
      <c r="AL109" s="144">
        <f t="shared" si="29"/>
        <v>1.2E-2</v>
      </c>
      <c r="AM109" s="144">
        <f t="shared" si="30"/>
        <v>2.4643315025129828</v>
      </c>
      <c r="AN109" s="144">
        <f t="shared" si="31"/>
        <v>2.4079999999999999</v>
      </c>
      <c r="AO109" s="145">
        <f t="shared" si="32"/>
        <v>0</v>
      </c>
      <c r="AP109" s="148"/>
      <c r="AQ109" s="143">
        <v>0</v>
      </c>
      <c r="AR109" s="145">
        <f t="shared" si="33"/>
        <v>2.4079999999999999</v>
      </c>
    </row>
    <row r="110" spans="1:44">
      <c r="A110" s="129" t="s">
        <v>346</v>
      </c>
      <c r="B110" s="130">
        <v>10091</v>
      </c>
      <c r="C110" s="131" t="s">
        <v>347</v>
      </c>
      <c r="D110" s="132">
        <v>177</v>
      </c>
      <c r="E110" s="149">
        <v>8.3780000000000001</v>
      </c>
      <c r="F110" s="150">
        <v>0</v>
      </c>
      <c r="G110" s="150">
        <v>-2.8000000000000001E-2</v>
      </c>
      <c r="H110" s="150">
        <v>0</v>
      </c>
      <c r="I110" s="150">
        <v>0</v>
      </c>
      <c r="J110" s="150">
        <f t="shared" si="18"/>
        <v>8.35</v>
      </c>
      <c r="K110" s="150">
        <v>0</v>
      </c>
      <c r="L110" s="151">
        <f t="shared" si="19"/>
        <v>8.35</v>
      </c>
      <c r="M110" s="149">
        <v>9.0060000000000002</v>
      </c>
      <c r="N110" s="150">
        <v>0</v>
      </c>
      <c r="O110" s="150">
        <v>-0.17199999999999999</v>
      </c>
      <c r="P110" s="150">
        <v>0</v>
      </c>
      <c r="Q110" s="150">
        <v>0</v>
      </c>
      <c r="R110" s="150">
        <f t="shared" si="20"/>
        <v>8.8339999999999996</v>
      </c>
      <c r="S110" s="150">
        <v>2.7E-2</v>
      </c>
      <c r="T110" s="151">
        <f t="shared" si="21"/>
        <v>8.8610000000000007</v>
      </c>
      <c r="U110" s="152">
        <f t="shared" si="22"/>
        <v>8.6059999999999999</v>
      </c>
      <c r="V110" s="149">
        <v>9.298</v>
      </c>
      <c r="W110" s="150">
        <v>0</v>
      </c>
      <c r="X110" s="150">
        <v>-9.8000000000000004E-2</v>
      </c>
      <c r="Y110" s="150">
        <v>0</v>
      </c>
      <c r="Z110" s="150">
        <v>0</v>
      </c>
      <c r="AA110" s="150">
        <f t="shared" si="23"/>
        <v>9.1999999999999993</v>
      </c>
      <c r="AB110" s="150">
        <v>9.4E-2</v>
      </c>
      <c r="AC110" s="151">
        <f t="shared" si="24"/>
        <v>9.2940000000000005</v>
      </c>
      <c r="AD110" s="152">
        <f t="shared" si="25"/>
        <v>0</v>
      </c>
      <c r="AE110" s="152">
        <v>0</v>
      </c>
      <c r="AF110" s="137"/>
      <c r="AG110" s="149">
        <f t="shared" si="26"/>
        <v>9.1999999999999993</v>
      </c>
      <c r="AH110" s="150">
        <f t="shared" si="17"/>
        <v>0</v>
      </c>
      <c r="AI110" s="150">
        <v>0</v>
      </c>
      <c r="AJ110" s="150">
        <f t="shared" si="27"/>
        <v>9.1999999999999993</v>
      </c>
      <c r="AK110" s="150">
        <f t="shared" si="28"/>
        <v>9.6913444257385901</v>
      </c>
      <c r="AL110" s="150">
        <f t="shared" si="29"/>
        <v>9.4E-2</v>
      </c>
      <c r="AM110" s="150">
        <f t="shared" si="30"/>
        <v>9.7853444257385895</v>
      </c>
      <c r="AN110" s="150">
        <f t="shared" si="31"/>
        <v>9.5630000000000006</v>
      </c>
      <c r="AO110" s="151">
        <f t="shared" si="32"/>
        <v>0</v>
      </c>
      <c r="AP110" s="138"/>
      <c r="AQ110" s="149">
        <v>0</v>
      </c>
      <c r="AR110" s="151">
        <f t="shared" si="33"/>
        <v>9.5630000000000006</v>
      </c>
    </row>
    <row r="111" spans="1:44">
      <c r="A111" s="139" t="s">
        <v>348</v>
      </c>
      <c r="B111" s="140">
        <v>10342</v>
      </c>
      <c r="C111" s="141" t="s">
        <v>47</v>
      </c>
      <c r="D111" s="142">
        <v>383</v>
      </c>
      <c r="E111" s="143">
        <v>38.642000000000003</v>
      </c>
      <c r="F111" s="144">
        <v>0</v>
      </c>
      <c r="G111" s="144">
        <v>-0.155</v>
      </c>
      <c r="H111" s="144">
        <v>0</v>
      </c>
      <c r="I111" s="144">
        <v>0</v>
      </c>
      <c r="J111" s="144">
        <f t="shared" si="18"/>
        <v>38.487000000000002</v>
      </c>
      <c r="K111" s="144">
        <v>6.9000000000000006E-2</v>
      </c>
      <c r="L111" s="145">
        <f t="shared" si="19"/>
        <v>38.555999999999997</v>
      </c>
      <c r="M111" s="143">
        <v>39.96</v>
      </c>
      <c r="N111" s="144">
        <v>0</v>
      </c>
      <c r="O111" s="144">
        <v>-0.89</v>
      </c>
      <c r="P111" s="144">
        <v>0</v>
      </c>
      <c r="Q111" s="144">
        <v>0</v>
      </c>
      <c r="R111" s="144">
        <f t="shared" si="20"/>
        <v>39.07</v>
      </c>
      <c r="S111" s="144">
        <v>0.11700000000000001</v>
      </c>
      <c r="T111" s="145">
        <f t="shared" si="21"/>
        <v>39.186999999999998</v>
      </c>
      <c r="U111" s="146">
        <f t="shared" si="22"/>
        <v>38.872</v>
      </c>
      <c r="V111" s="143">
        <v>37.1</v>
      </c>
      <c r="W111" s="144">
        <v>0</v>
      </c>
      <c r="X111" s="144">
        <v>0.315</v>
      </c>
      <c r="Y111" s="144">
        <v>0</v>
      </c>
      <c r="Z111" s="144">
        <v>0</v>
      </c>
      <c r="AA111" s="144">
        <f t="shared" si="23"/>
        <v>37.414999999999999</v>
      </c>
      <c r="AB111" s="144">
        <v>0.78200000000000003</v>
      </c>
      <c r="AC111" s="145">
        <f t="shared" si="24"/>
        <v>38.197000000000003</v>
      </c>
      <c r="AD111" s="146">
        <f t="shared" si="25"/>
        <v>0.67499999999999716</v>
      </c>
      <c r="AE111" s="146">
        <v>0</v>
      </c>
      <c r="AF111" s="147"/>
      <c r="AG111" s="143">
        <f t="shared" si="26"/>
        <v>37.414999999999999</v>
      </c>
      <c r="AH111" s="144">
        <f t="shared" si="17"/>
        <v>0.67499999999999716</v>
      </c>
      <c r="AI111" s="144">
        <v>0</v>
      </c>
      <c r="AJ111" s="144">
        <f t="shared" si="27"/>
        <v>38.089999999999996</v>
      </c>
      <c r="AK111" s="144">
        <f t="shared" si="28"/>
        <v>40.124272736563363</v>
      </c>
      <c r="AL111" s="144">
        <f t="shared" si="29"/>
        <v>0.78200000000000003</v>
      </c>
      <c r="AM111" s="144">
        <f t="shared" si="30"/>
        <v>40.906272736563366</v>
      </c>
      <c r="AN111" s="144">
        <f t="shared" si="31"/>
        <v>39.975999999999999</v>
      </c>
      <c r="AO111" s="145">
        <f t="shared" si="32"/>
        <v>0.70799999999999996</v>
      </c>
      <c r="AP111" s="148"/>
      <c r="AQ111" s="143">
        <v>0</v>
      </c>
      <c r="AR111" s="145">
        <f t="shared" si="33"/>
        <v>39.975999999999999</v>
      </c>
    </row>
    <row r="112" spans="1:44">
      <c r="A112" s="129" t="s">
        <v>349</v>
      </c>
      <c r="B112" s="130">
        <v>10343</v>
      </c>
      <c r="C112" s="131" t="s">
        <v>350</v>
      </c>
      <c r="D112" s="132">
        <v>384</v>
      </c>
      <c r="E112" s="149">
        <v>28.347999999999999</v>
      </c>
      <c r="F112" s="150">
        <v>0</v>
      </c>
      <c r="G112" s="150">
        <v>-4.3999999999999997E-2</v>
      </c>
      <c r="H112" s="150">
        <v>-1.6060000000000001</v>
      </c>
      <c r="I112" s="150">
        <v>1.4950000000000001</v>
      </c>
      <c r="J112" s="150">
        <f t="shared" si="18"/>
        <v>28.192999999999998</v>
      </c>
      <c r="K112" s="150">
        <v>0</v>
      </c>
      <c r="L112" s="151">
        <f t="shared" si="19"/>
        <v>28.193000000000001</v>
      </c>
      <c r="M112" s="149">
        <v>33.451999999999998</v>
      </c>
      <c r="N112" s="150">
        <v>0</v>
      </c>
      <c r="O112" s="150">
        <v>-9.1999999999999998E-2</v>
      </c>
      <c r="P112" s="150">
        <v>-1.6830000000000001</v>
      </c>
      <c r="Q112" s="150">
        <v>1.5029999999999999</v>
      </c>
      <c r="R112" s="150">
        <f t="shared" si="20"/>
        <v>33.18</v>
      </c>
      <c r="S112" s="150">
        <v>2.8000000000000001E-2</v>
      </c>
      <c r="T112" s="151">
        <f t="shared" si="21"/>
        <v>33.207999999999998</v>
      </c>
      <c r="U112" s="152">
        <f t="shared" si="22"/>
        <v>30.701000000000001</v>
      </c>
      <c r="V112" s="149">
        <v>30.777000000000001</v>
      </c>
      <c r="W112" s="150">
        <v>0</v>
      </c>
      <c r="X112" s="150">
        <v>-4.0000000000000001E-3</v>
      </c>
      <c r="Y112" s="150">
        <v>-1.405</v>
      </c>
      <c r="Z112" s="150">
        <v>1.5249999999999999</v>
      </c>
      <c r="AA112" s="150">
        <f t="shared" si="23"/>
        <v>30.892999999999997</v>
      </c>
      <c r="AB112" s="150">
        <v>5.6000000000000001E-2</v>
      </c>
      <c r="AC112" s="151">
        <f t="shared" si="24"/>
        <v>30.949000000000002</v>
      </c>
      <c r="AD112" s="152">
        <f t="shared" si="25"/>
        <v>0</v>
      </c>
      <c r="AE112" s="152">
        <v>0</v>
      </c>
      <c r="AF112" s="137"/>
      <c r="AG112" s="149">
        <f t="shared" si="26"/>
        <v>30.892999999999997</v>
      </c>
      <c r="AH112" s="150">
        <f t="shared" si="17"/>
        <v>0</v>
      </c>
      <c r="AI112" s="150">
        <v>0</v>
      </c>
      <c r="AJ112" s="150">
        <f t="shared" si="27"/>
        <v>30.892999999999997</v>
      </c>
      <c r="AK112" s="150">
        <f t="shared" si="28"/>
        <v>32.54290253742851</v>
      </c>
      <c r="AL112" s="150">
        <f t="shared" si="29"/>
        <v>5.6000000000000001E-2</v>
      </c>
      <c r="AM112" s="150">
        <f t="shared" si="30"/>
        <v>32.598902537428508</v>
      </c>
      <c r="AN112" s="150">
        <f t="shared" si="31"/>
        <v>31.856999999999999</v>
      </c>
      <c r="AO112" s="151">
        <f t="shared" si="32"/>
        <v>0</v>
      </c>
      <c r="AP112" s="138"/>
      <c r="AQ112" s="149">
        <v>0</v>
      </c>
      <c r="AR112" s="151">
        <f t="shared" si="33"/>
        <v>31.856999999999999</v>
      </c>
    </row>
    <row r="113" spans="1:44">
      <c r="A113" s="139" t="s">
        <v>351</v>
      </c>
      <c r="B113" s="140">
        <v>10349</v>
      </c>
      <c r="C113" s="141" t="s">
        <v>48</v>
      </c>
      <c r="D113" s="142">
        <v>180</v>
      </c>
      <c r="E113" s="143">
        <v>1157.8679999999999</v>
      </c>
      <c r="F113" s="144">
        <v>0</v>
      </c>
      <c r="G113" s="144">
        <v>-5.9790000000000001</v>
      </c>
      <c r="H113" s="144">
        <v>0</v>
      </c>
      <c r="I113" s="144">
        <v>0</v>
      </c>
      <c r="J113" s="144">
        <f t="shared" si="18"/>
        <v>1151.8889999999999</v>
      </c>
      <c r="K113" s="144">
        <v>3.048</v>
      </c>
      <c r="L113" s="145">
        <f t="shared" si="19"/>
        <v>1154.9369999999999</v>
      </c>
      <c r="M113" s="143">
        <v>1180.4269999999999</v>
      </c>
      <c r="N113" s="144">
        <v>0</v>
      </c>
      <c r="O113" s="144">
        <v>-15.701000000000001</v>
      </c>
      <c r="P113" s="144">
        <v>0</v>
      </c>
      <c r="Q113" s="144">
        <v>0</v>
      </c>
      <c r="R113" s="144">
        <f t="shared" si="20"/>
        <v>1164.7259999999999</v>
      </c>
      <c r="S113" s="144">
        <v>14.273</v>
      </c>
      <c r="T113" s="145">
        <f t="shared" si="21"/>
        <v>1178.999</v>
      </c>
      <c r="U113" s="146">
        <f t="shared" si="22"/>
        <v>1166.9680000000001</v>
      </c>
      <c r="V113" s="143">
        <v>1130.6089999999999</v>
      </c>
      <c r="W113" s="144">
        <v>0</v>
      </c>
      <c r="X113" s="144">
        <v>4.867</v>
      </c>
      <c r="Y113" s="144">
        <v>0</v>
      </c>
      <c r="Z113" s="144">
        <v>0</v>
      </c>
      <c r="AA113" s="144">
        <f t="shared" si="23"/>
        <v>1135.4759999999999</v>
      </c>
      <c r="AB113" s="144">
        <v>40.100999999999999</v>
      </c>
      <c r="AC113" s="145">
        <f t="shared" si="24"/>
        <v>1175.577</v>
      </c>
      <c r="AD113" s="146">
        <f t="shared" si="25"/>
        <v>0</v>
      </c>
      <c r="AE113" s="146">
        <v>0</v>
      </c>
      <c r="AF113" s="147"/>
      <c r="AG113" s="143">
        <f t="shared" si="26"/>
        <v>1135.4759999999999</v>
      </c>
      <c r="AH113" s="144">
        <f t="shared" si="17"/>
        <v>0</v>
      </c>
      <c r="AI113" s="144">
        <v>-657.02300000000002</v>
      </c>
      <c r="AJ113" s="144">
        <f t="shared" si="27"/>
        <v>478.45299999999986</v>
      </c>
      <c r="AK113" s="144">
        <f t="shared" si="28"/>
        <v>504.00574070955486</v>
      </c>
      <c r="AL113" s="144">
        <f t="shared" si="29"/>
        <v>40.100999999999999</v>
      </c>
      <c r="AM113" s="144">
        <f t="shared" si="30"/>
        <v>544.10674070955486</v>
      </c>
      <c r="AN113" s="144">
        <f t="shared" si="31"/>
        <v>531.72699999999998</v>
      </c>
      <c r="AO113" s="145">
        <f t="shared" si="32"/>
        <v>0</v>
      </c>
      <c r="AP113" s="148"/>
      <c r="AQ113" s="143">
        <v>0</v>
      </c>
      <c r="AR113" s="145">
        <f t="shared" si="33"/>
        <v>531.72699999999998</v>
      </c>
    </row>
    <row r="114" spans="1:44">
      <c r="A114" s="129" t="s">
        <v>352</v>
      </c>
      <c r="B114" s="130">
        <v>10352</v>
      </c>
      <c r="C114" s="131" t="s">
        <v>353</v>
      </c>
      <c r="D114" s="132">
        <v>279</v>
      </c>
      <c r="E114" s="149">
        <v>15.91</v>
      </c>
      <c r="F114" s="150">
        <v>0</v>
      </c>
      <c r="G114" s="150">
        <v>-7.4999999999999997E-2</v>
      </c>
      <c r="H114" s="150">
        <v>0</v>
      </c>
      <c r="I114" s="150">
        <v>0</v>
      </c>
      <c r="J114" s="150">
        <f t="shared" si="18"/>
        <v>15.835000000000001</v>
      </c>
      <c r="K114" s="150">
        <v>0.02</v>
      </c>
      <c r="L114" s="151">
        <f t="shared" si="19"/>
        <v>15.855</v>
      </c>
      <c r="M114" s="149">
        <v>15.782999999999999</v>
      </c>
      <c r="N114" s="150">
        <v>0</v>
      </c>
      <c r="O114" s="150">
        <v>-0.30499999999999999</v>
      </c>
      <c r="P114" s="150">
        <v>0</v>
      </c>
      <c r="Q114" s="150">
        <v>0</v>
      </c>
      <c r="R114" s="150">
        <f t="shared" si="20"/>
        <v>15.478</v>
      </c>
      <c r="S114" s="150">
        <v>4.9000000000000002E-2</v>
      </c>
      <c r="T114" s="151">
        <f t="shared" si="21"/>
        <v>15.526999999999999</v>
      </c>
      <c r="U114" s="152">
        <f t="shared" si="22"/>
        <v>15.691000000000001</v>
      </c>
      <c r="V114" s="149">
        <v>15.49</v>
      </c>
      <c r="W114" s="150">
        <v>0</v>
      </c>
      <c r="X114" s="150">
        <v>-7.8E-2</v>
      </c>
      <c r="Y114" s="150">
        <v>0</v>
      </c>
      <c r="Z114" s="150">
        <v>0</v>
      </c>
      <c r="AA114" s="150">
        <f t="shared" si="23"/>
        <v>15.412000000000001</v>
      </c>
      <c r="AB114" s="150">
        <v>0.35399999999999998</v>
      </c>
      <c r="AC114" s="151">
        <f t="shared" si="24"/>
        <v>15.766</v>
      </c>
      <c r="AD114" s="152">
        <f t="shared" si="25"/>
        <v>0</v>
      </c>
      <c r="AE114" s="152">
        <v>0</v>
      </c>
      <c r="AF114" s="137"/>
      <c r="AG114" s="149">
        <f t="shared" si="26"/>
        <v>15.412000000000001</v>
      </c>
      <c r="AH114" s="150">
        <f t="shared" si="17"/>
        <v>0</v>
      </c>
      <c r="AI114" s="150">
        <v>-6.6000000000000003E-2</v>
      </c>
      <c r="AJ114" s="150">
        <f t="shared" si="27"/>
        <v>15.346</v>
      </c>
      <c r="AK114" s="150">
        <f t="shared" si="28"/>
        <v>16.16558386493309</v>
      </c>
      <c r="AL114" s="150">
        <f t="shared" si="29"/>
        <v>0.35399999999999998</v>
      </c>
      <c r="AM114" s="150">
        <f t="shared" si="30"/>
        <v>16.51958386493309</v>
      </c>
      <c r="AN114" s="150">
        <f t="shared" si="31"/>
        <v>16.143999999999998</v>
      </c>
      <c r="AO114" s="151">
        <f t="shared" si="32"/>
        <v>0</v>
      </c>
      <c r="AP114" s="138"/>
      <c r="AQ114" s="149">
        <v>0</v>
      </c>
      <c r="AR114" s="151">
        <f t="shared" si="33"/>
        <v>16.143999999999998</v>
      </c>
    </row>
    <row r="115" spans="1:44">
      <c r="A115" s="139" t="s">
        <v>354</v>
      </c>
      <c r="B115" s="140">
        <v>10354</v>
      </c>
      <c r="C115" s="141" t="s">
        <v>49</v>
      </c>
      <c r="D115" s="142">
        <v>283</v>
      </c>
      <c r="E115" s="143">
        <v>795.93200000000002</v>
      </c>
      <c r="F115" s="144">
        <v>0</v>
      </c>
      <c r="G115" s="144">
        <v>-5.6360000000000001</v>
      </c>
      <c r="H115" s="144">
        <v>0</v>
      </c>
      <c r="I115" s="144">
        <v>0</v>
      </c>
      <c r="J115" s="144">
        <f t="shared" si="18"/>
        <v>790.29600000000005</v>
      </c>
      <c r="K115" s="144">
        <v>4.21</v>
      </c>
      <c r="L115" s="145">
        <f t="shared" si="19"/>
        <v>794.50599999999997</v>
      </c>
      <c r="M115" s="143">
        <v>823.76499999999999</v>
      </c>
      <c r="N115" s="144">
        <v>0</v>
      </c>
      <c r="O115" s="144">
        <v>-16.917999999999999</v>
      </c>
      <c r="P115" s="144">
        <v>0</v>
      </c>
      <c r="Q115" s="144">
        <v>0</v>
      </c>
      <c r="R115" s="144">
        <f t="shared" si="20"/>
        <v>806.84699999999998</v>
      </c>
      <c r="S115" s="144">
        <v>9.2080000000000002</v>
      </c>
      <c r="T115" s="145">
        <f t="shared" si="21"/>
        <v>816.05499999999995</v>
      </c>
      <c r="U115" s="146">
        <f t="shared" si="22"/>
        <v>805.28099999999995</v>
      </c>
      <c r="V115" s="143">
        <v>793.61300000000006</v>
      </c>
      <c r="W115" s="144">
        <v>0</v>
      </c>
      <c r="X115" s="144">
        <v>5.2359999999999998</v>
      </c>
      <c r="Y115" s="144">
        <v>0</v>
      </c>
      <c r="Z115" s="144">
        <v>0</v>
      </c>
      <c r="AA115" s="144">
        <f t="shared" si="23"/>
        <v>798.84900000000005</v>
      </c>
      <c r="AB115" s="144">
        <v>20.791</v>
      </c>
      <c r="AC115" s="145">
        <f t="shared" si="24"/>
        <v>819.64</v>
      </c>
      <c r="AD115" s="146">
        <f t="shared" si="25"/>
        <v>0</v>
      </c>
      <c r="AE115" s="146">
        <v>0</v>
      </c>
      <c r="AF115" s="147"/>
      <c r="AG115" s="143">
        <f t="shared" si="26"/>
        <v>798.84900000000005</v>
      </c>
      <c r="AH115" s="144">
        <f t="shared" si="17"/>
        <v>0</v>
      </c>
      <c r="AI115" s="144">
        <v>-30.788999999999998</v>
      </c>
      <c r="AJ115" s="144">
        <f t="shared" si="27"/>
        <v>768.06000000000006</v>
      </c>
      <c r="AK115" s="144">
        <f t="shared" si="28"/>
        <v>809.07978256878073</v>
      </c>
      <c r="AL115" s="144">
        <f t="shared" si="29"/>
        <v>20.791</v>
      </c>
      <c r="AM115" s="144">
        <f t="shared" si="30"/>
        <v>829.87078256878078</v>
      </c>
      <c r="AN115" s="144">
        <f t="shared" si="31"/>
        <v>810.99</v>
      </c>
      <c r="AO115" s="145">
        <f t="shared" si="32"/>
        <v>0</v>
      </c>
      <c r="AP115" s="148"/>
      <c r="AQ115" s="143">
        <v>0</v>
      </c>
      <c r="AR115" s="145">
        <f t="shared" si="33"/>
        <v>810.99</v>
      </c>
    </row>
    <row r="116" spans="1:44">
      <c r="A116" s="129" t="s">
        <v>355</v>
      </c>
      <c r="B116" s="130">
        <v>10094</v>
      </c>
      <c r="C116" s="131" t="s">
        <v>50</v>
      </c>
      <c r="D116" s="132">
        <v>181</v>
      </c>
      <c r="E116" s="149">
        <v>2.97</v>
      </c>
      <c r="F116" s="150">
        <v>0</v>
      </c>
      <c r="G116" s="150">
        <v>-1.2999999999999999E-2</v>
      </c>
      <c r="H116" s="150">
        <v>0</v>
      </c>
      <c r="I116" s="150">
        <v>0</v>
      </c>
      <c r="J116" s="150">
        <f t="shared" si="18"/>
        <v>2.9570000000000003</v>
      </c>
      <c r="K116" s="150">
        <v>4.0000000000000001E-3</v>
      </c>
      <c r="L116" s="151">
        <f t="shared" si="19"/>
        <v>2.9609999999999999</v>
      </c>
      <c r="M116" s="149">
        <v>3.0739999999999998</v>
      </c>
      <c r="N116" s="150">
        <v>0</v>
      </c>
      <c r="O116" s="150">
        <v>-3.4000000000000002E-2</v>
      </c>
      <c r="P116" s="150">
        <v>0</v>
      </c>
      <c r="Q116" s="150">
        <v>0</v>
      </c>
      <c r="R116" s="150">
        <f t="shared" si="20"/>
        <v>3.04</v>
      </c>
      <c r="S116" s="150">
        <v>3.3000000000000002E-2</v>
      </c>
      <c r="T116" s="151">
        <f t="shared" si="21"/>
        <v>3.073</v>
      </c>
      <c r="U116" s="152">
        <f t="shared" si="22"/>
        <v>3.0169999999999999</v>
      </c>
      <c r="V116" s="149">
        <v>2.903</v>
      </c>
      <c r="W116" s="150">
        <v>0</v>
      </c>
      <c r="X116" s="150">
        <v>-2.1000000000000001E-2</v>
      </c>
      <c r="Y116" s="150">
        <v>0</v>
      </c>
      <c r="Z116" s="150">
        <v>0</v>
      </c>
      <c r="AA116" s="150">
        <f t="shared" si="23"/>
        <v>2.8820000000000001</v>
      </c>
      <c r="AB116" s="150">
        <v>5.3999999999999999E-2</v>
      </c>
      <c r="AC116" s="151">
        <f t="shared" si="24"/>
        <v>2.9359999999999999</v>
      </c>
      <c r="AD116" s="152">
        <f t="shared" si="25"/>
        <v>8.0999999999999961E-2</v>
      </c>
      <c r="AE116" s="152">
        <v>0</v>
      </c>
      <c r="AF116" s="137"/>
      <c r="AG116" s="149">
        <f t="shared" si="26"/>
        <v>2.8820000000000001</v>
      </c>
      <c r="AH116" s="150">
        <f t="shared" si="17"/>
        <v>8.0999999999999961E-2</v>
      </c>
      <c r="AI116" s="150">
        <v>0</v>
      </c>
      <c r="AJ116" s="150">
        <f t="shared" si="27"/>
        <v>2.9630000000000001</v>
      </c>
      <c r="AK116" s="150">
        <f t="shared" si="28"/>
        <v>3.1212449492895051</v>
      </c>
      <c r="AL116" s="150">
        <f t="shared" si="29"/>
        <v>5.3999999999999999E-2</v>
      </c>
      <c r="AM116" s="150">
        <f t="shared" si="30"/>
        <v>3.175244949289505</v>
      </c>
      <c r="AN116" s="150">
        <f t="shared" si="31"/>
        <v>3.1030000000000002</v>
      </c>
      <c r="AO116" s="151">
        <f t="shared" si="32"/>
        <v>8.5000000000000006E-2</v>
      </c>
      <c r="AP116" s="138"/>
      <c r="AQ116" s="149">
        <v>0</v>
      </c>
      <c r="AR116" s="151">
        <f t="shared" si="33"/>
        <v>3.1030000000000002</v>
      </c>
    </row>
    <row r="117" spans="1:44">
      <c r="A117" s="139" t="s">
        <v>356</v>
      </c>
      <c r="B117" s="140">
        <v>10360</v>
      </c>
      <c r="C117" s="141" t="s">
        <v>357</v>
      </c>
      <c r="D117" s="142">
        <v>385</v>
      </c>
      <c r="E117" s="143">
        <v>6.5419999999999998</v>
      </c>
      <c r="F117" s="144">
        <v>0</v>
      </c>
      <c r="G117" s="144">
        <v>-0.02</v>
      </c>
      <c r="H117" s="144">
        <v>-3.3159999999999998</v>
      </c>
      <c r="I117" s="144">
        <v>3.044</v>
      </c>
      <c r="J117" s="144">
        <f t="shared" si="18"/>
        <v>6.25</v>
      </c>
      <c r="K117" s="144">
        <v>0.01</v>
      </c>
      <c r="L117" s="145">
        <f t="shared" si="19"/>
        <v>6.26</v>
      </c>
      <c r="M117" s="143">
        <v>6.8070000000000004</v>
      </c>
      <c r="N117" s="144">
        <v>0</v>
      </c>
      <c r="O117" s="144">
        <v>-2.9000000000000001E-2</v>
      </c>
      <c r="P117" s="144">
        <v>-3.177</v>
      </c>
      <c r="Q117" s="144">
        <v>3.0739999999999998</v>
      </c>
      <c r="R117" s="144">
        <f t="shared" si="20"/>
        <v>6.6750000000000007</v>
      </c>
      <c r="S117" s="144">
        <v>2.1000000000000001E-2</v>
      </c>
      <c r="T117" s="145">
        <f t="shared" si="21"/>
        <v>6.6959999999999997</v>
      </c>
      <c r="U117" s="146">
        <f t="shared" si="22"/>
        <v>6.4779999999999998</v>
      </c>
      <c r="V117" s="143">
        <v>6.375</v>
      </c>
      <c r="W117" s="144">
        <v>0</v>
      </c>
      <c r="X117" s="144">
        <v>1.9E-2</v>
      </c>
      <c r="Y117" s="144">
        <v>-2.9950000000000001</v>
      </c>
      <c r="Z117" s="144">
        <v>3.181</v>
      </c>
      <c r="AA117" s="144">
        <f t="shared" si="23"/>
        <v>6.58</v>
      </c>
      <c r="AB117" s="144">
        <v>9.4E-2</v>
      </c>
      <c r="AC117" s="145">
        <f t="shared" si="24"/>
        <v>6.6740000000000004</v>
      </c>
      <c r="AD117" s="146">
        <f t="shared" si="25"/>
        <v>0</v>
      </c>
      <c r="AE117" s="146">
        <v>0</v>
      </c>
      <c r="AF117" s="147"/>
      <c r="AG117" s="143">
        <f t="shared" si="26"/>
        <v>6.58</v>
      </c>
      <c r="AH117" s="144">
        <f t="shared" si="17"/>
        <v>0</v>
      </c>
      <c r="AI117" s="144">
        <v>0</v>
      </c>
      <c r="AJ117" s="144">
        <f t="shared" si="27"/>
        <v>6.58</v>
      </c>
      <c r="AK117" s="144">
        <f t="shared" si="28"/>
        <v>6.9314180784086883</v>
      </c>
      <c r="AL117" s="144">
        <f t="shared" si="29"/>
        <v>9.4E-2</v>
      </c>
      <c r="AM117" s="144">
        <f t="shared" si="30"/>
        <v>7.0254180784086886</v>
      </c>
      <c r="AN117" s="144">
        <f t="shared" si="31"/>
        <v>6.8659999999999997</v>
      </c>
      <c r="AO117" s="145">
        <f t="shared" si="32"/>
        <v>0</v>
      </c>
      <c r="AP117" s="148"/>
      <c r="AQ117" s="143">
        <v>0</v>
      </c>
      <c r="AR117" s="145">
        <f t="shared" si="33"/>
        <v>6.8659999999999997</v>
      </c>
    </row>
    <row r="118" spans="1:44">
      <c r="A118" s="129" t="s">
        <v>358</v>
      </c>
      <c r="B118" s="130">
        <v>10363</v>
      </c>
      <c r="C118" s="131" t="s">
        <v>359</v>
      </c>
      <c r="D118" s="132">
        <v>184</v>
      </c>
      <c r="E118" s="149">
        <v>95.344999999999999</v>
      </c>
      <c r="F118" s="150">
        <v>0</v>
      </c>
      <c r="G118" s="150">
        <v>-0.57799999999999996</v>
      </c>
      <c r="H118" s="150">
        <v>0</v>
      </c>
      <c r="I118" s="150">
        <v>0</v>
      </c>
      <c r="J118" s="150">
        <f t="shared" si="18"/>
        <v>94.766999999999996</v>
      </c>
      <c r="K118" s="150">
        <v>0.39900000000000002</v>
      </c>
      <c r="L118" s="151">
        <f t="shared" si="19"/>
        <v>95.165999999999997</v>
      </c>
      <c r="M118" s="149">
        <v>99.055000000000007</v>
      </c>
      <c r="N118" s="150">
        <v>0</v>
      </c>
      <c r="O118" s="150">
        <v>-2.6840000000000002</v>
      </c>
      <c r="P118" s="150">
        <v>0</v>
      </c>
      <c r="Q118" s="150">
        <v>0</v>
      </c>
      <c r="R118" s="150">
        <f t="shared" si="20"/>
        <v>96.371000000000009</v>
      </c>
      <c r="S118" s="150">
        <v>0.90300000000000002</v>
      </c>
      <c r="T118" s="151">
        <f t="shared" si="21"/>
        <v>97.274000000000001</v>
      </c>
      <c r="U118" s="152">
        <f t="shared" si="22"/>
        <v>96.22</v>
      </c>
      <c r="V118" s="149">
        <v>96.497</v>
      </c>
      <c r="W118" s="150">
        <v>0</v>
      </c>
      <c r="X118" s="150">
        <v>2.5999999999999999E-2</v>
      </c>
      <c r="Y118" s="150">
        <v>0</v>
      </c>
      <c r="Z118" s="150">
        <v>0</v>
      </c>
      <c r="AA118" s="150">
        <f t="shared" si="23"/>
        <v>96.522999999999996</v>
      </c>
      <c r="AB118" s="150">
        <v>2.91</v>
      </c>
      <c r="AC118" s="151">
        <f t="shared" si="24"/>
        <v>99.433000000000007</v>
      </c>
      <c r="AD118" s="152">
        <f t="shared" si="25"/>
        <v>0</v>
      </c>
      <c r="AE118" s="152">
        <v>0</v>
      </c>
      <c r="AF118" s="137"/>
      <c r="AG118" s="149">
        <f t="shared" si="26"/>
        <v>96.522999999999996</v>
      </c>
      <c r="AH118" s="150">
        <f t="shared" si="17"/>
        <v>0</v>
      </c>
      <c r="AI118" s="150">
        <v>0</v>
      </c>
      <c r="AJ118" s="150">
        <f t="shared" si="27"/>
        <v>96.522999999999996</v>
      </c>
      <c r="AK118" s="150">
        <f t="shared" si="28"/>
        <v>101.67800413103978</v>
      </c>
      <c r="AL118" s="150">
        <f t="shared" si="29"/>
        <v>2.91</v>
      </c>
      <c r="AM118" s="150">
        <f t="shared" si="30"/>
        <v>104.58800413103978</v>
      </c>
      <c r="AN118" s="150">
        <f t="shared" si="31"/>
        <v>102.208</v>
      </c>
      <c r="AO118" s="151">
        <f t="shared" si="32"/>
        <v>0</v>
      </c>
      <c r="AP118" s="138"/>
      <c r="AQ118" s="149">
        <v>0</v>
      </c>
      <c r="AR118" s="151">
        <f t="shared" si="33"/>
        <v>102.208</v>
      </c>
    </row>
    <row r="119" spans="1:44">
      <c r="A119" s="139" t="s">
        <v>360</v>
      </c>
      <c r="B119" s="140">
        <v>10379</v>
      </c>
      <c r="C119" s="141" t="s">
        <v>361</v>
      </c>
      <c r="D119" s="142">
        <v>185</v>
      </c>
      <c r="E119" s="143">
        <v>4.6749999999999998</v>
      </c>
      <c r="F119" s="144">
        <v>0</v>
      </c>
      <c r="G119" s="144">
        <v>-5.1999999999999998E-2</v>
      </c>
      <c r="H119" s="144">
        <v>0</v>
      </c>
      <c r="I119" s="144">
        <v>0</v>
      </c>
      <c r="J119" s="144">
        <f t="shared" si="18"/>
        <v>4.6230000000000002</v>
      </c>
      <c r="K119" s="144">
        <v>0</v>
      </c>
      <c r="L119" s="145">
        <f t="shared" si="19"/>
        <v>4.6230000000000002</v>
      </c>
      <c r="M119" s="143">
        <v>4.8780000000000001</v>
      </c>
      <c r="N119" s="144">
        <v>0</v>
      </c>
      <c r="O119" s="144">
        <v>-0.155</v>
      </c>
      <c r="P119" s="144">
        <v>0</v>
      </c>
      <c r="Q119" s="144">
        <v>0</v>
      </c>
      <c r="R119" s="144">
        <f t="shared" si="20"/>
        <v>4.7229999999999999</v>
      </c>
      <c r="S119" s="144">
        <v>1.6E-2</v>
      </c>
      <c r="T119" s="145">
        <f t="shared" si="21"/>
        <v>4.7389999999999999</v>
      </c>
      <c r="U119" s="146">
        <f t="shared" si="22"/>
        <v>4.681</v>
      </c>
      <c r="V119" s="143">
        <v>4.6340000000000003</v>
      </c>
      <c r="W119" s="144">
        <v>0</v>
      </c>
      <c r="X119" s="144">
        <v>4.8000000000000001E-2</v>
      </c>
      <c r="Y119" s="144">
        <v>0</v>
      </c>
      <c r="Z119" s="144">
        <v>0</v>
      </c>
      <c r="AA119" s="144">
        <f t="shared" si="23"/>
        <v>4.6820000000000004</v>
      </c>
      <c r="AB119" s="144">
        <v>6.2E-2</v>
      </c>
      <c r="AC119" s="145">
        <f t="shared" si="24"/>
        <v>4.7439999999999998</v>
      </c>
      <c r="AD119" s="146">
        <f t="shared" si="25"/>
        <v>0</v>
      </c>
      <c r="AE119" s="146">
        <v>0</v>
      </c>
      <c r="AF119" s="147"/>
      <c r="AG119" s="143">
        <f t="shared" si="26"/>
        <v>4.6820000000000004</v>
      </c>
      <c r="AH119" s="144">
        <f t="shared" si="17"/>
        <v>0</v>
      </c>
      <c r="AI119" s="144">
        <v>0</v>
      </c>
      <c r="AJ119" s="144">
        <f t="shared" si="27"/>
        <v>4.6820000000000004</v>
      </c>
      <c r="AK119" s="144">
        <f t="shared" si="28"/>
        <v>4.9320515870987052</v>
      </c>
      <c r="AL119" s="144">
        <f t="shared" si="29"/>
        <v>6.2E-2</v>
      </c>
      <c r="AM119" s="144">
        <f t="shared" si="30"/>
        <v>4.9940515870987054</v>
      </c>
      <c r="AN119" s="144">
        <f t="shared" si="31"/>
        <v>4.88</v>
      </c>
      <c r="AO119" s="145">
        <f t="shared" si="32"/>
        <v>0</v>
      </c>
      <c r="AP119" s="148"/>
      <c r="AQ119" s="143">
        <v>0</v>
      </c>
      <c r="AR119" s="145">
        <f t="shared" si="33"/>
        <v>4.88</v>
      </c>
    </row>
    <row r="120" spans="1:44">
      <c r="A120" s="129" t="s">
        <v>362</v>
      </c>
      <c r="B120" s="130">
        <v>10095</v>
      </c>
      <c r="C120" s="131" t="s">
        <v>363</v>
      </c>
      <c r="D120" s="132">
        <v>186</v>
      </c>
      <c r="E120" s="149">
        <v>3.4689999999999999</v>
      </c>
      <c r="F120" s="150">
        <v>0</v>
      </c>
      <c r="G120" s="150">
        <v>-5.0000000000000001E-3</v>
      </c>
      <c r="H120" s="150">
        <v>0</v>
      </c>
      <c r="I120" s="150">
        <v>0</v>
      </c>
      <c r="J120" s="150">
        <f t="shared" si="18"/>
        <v>3.464</v>
      </c>
      <c r="K120" s="150">
        <v>0</v>
      </c>
      <c r="L120" s="151">
        <f t="shared" si="19"/>
        <v>3.464</v>
      </c>
      <c r="M120" s="149">
        <v>3.5680000000000001</v>
      </c>
      <c r="N120" s="150">
        <v>0</v>
      </c>
      <c r="O120" s="150">
        <v>-1.9E-2</v>
      </c>
      <c r="P120" s="150">
        <v>0</v>
      </c>
      <c r="Q120" s="150">
        <v>0</v>
      </c>
      <c r="R120" s="150">
        <f t="shared" si="20"/>
        <v>3.5489999999999999</v>
      </c>
      <c r="S120" s="150">
        <v>0</v>
      </c>
      <c r="T120" s="151">
        <f t="shared" si="21"/>
        <v>3.5489999999999999</v>
      </c>
      <c r="U120" s="152">
        <f t="shared" si="22"/>
        <v>3.5070000000000001</v>
      </c>
      <c r="V120" s="149">
        <v>3.5739999999999998</v>
      </c>
      <c r="W120" s="150">
        <v>0</v>
      </c>
      <c r="X120" s="150">
        <v>8.0000000000000002E-3</v>
      </c>
      <c r="Y120" s="150">
        <v>0</v>
      </c>
      <c r="Z120" s="150">
        <v>0</v>
      </c>
      <c r="AA120" s="150">
        <f t="shared" si="23"/>
        <v>3.5819999999999999</v>
      </c>
      <c r="AB120" s="150">
        <v>0.01</v>
      </c>
      <c r="AC120" s="151">
        <f t="shared" si="24"/>
        <v>3.5920000000000001</v>
      </c>
      <c r="AD120" s="152">
        <f t="shared" si="25"/>
        <v>0</v>
      </c>
      <c r="AE120" s="152">
        <v>0</v>
      </c>
      <c r="AF120" s="137"/>
      <c r="AG120" s="149">
        <f t="shared" si="26"/>
        <v>3.5819999999999999</v>
      </c>
      <c r="AH120" s="150">
        <f t="shared" si="17"/>
        <v>0</v>
      </c>
      <c r="AI120" s="150">
        <v>0</v>
      </c>
      <c r="AJ120" s="150">
        <f t="shared" si="27"/>
        <v>3.5819999999999999</v>
      </c>
      <c r="AK120" s="150">
        <f t="shared" si="28"/>
        <v>3.7733038840212645</v>
      </c>
      <c r="AL120" s="150">
        <f t="shared" si="29"/>
        <v>0.01</v>
      </c>
      <c r="AM120" s="150">
        <f t="shared" si="30"/>
        <v>3.7833038840212643</v>
      </c>
      <c r="AN120" s="150">
        <f t="shared" si="31"/>
        <v>3.6970000000000001</v>
      </c>
      <c r="AO120" s="151">
        <f t="shared" si="32"/>
        <v>0</v>
      </c>
      <c r="AP120" s="138"/>
      <c r="AQ120" s="149">
        <v>0</v>
      </c>
      <c r="AR120" s="151">
        <f t="shared" si="33"/>
        <v>3.6970000000000001</v>
      </c>
    </row>
    <row r="121" spans="1:44">
      <c r="A121" s="139" t="s">
        <v>364</v>
      </c>
      <c r="B121" s="140">
        <v>10369</v>
      </c>
      <c r="C121" s="141" t="s">
        <v>365</v>
      </c>
      <c r="D121" s="142">
        <v>386</v>
      </c>
      <c r="E121" s="143">
        <v>16.931999999999999</v>
      </c>
      <c r="F121" s="144">
        <v>0</v>
      </c>
      <c r="G121" s="144">
        <v>-8.8999999999999996E-2</v>
      </c>
      <c r="H121" s="144">
        <v>-8.3789999999999996</v>
      </c>
      <c r="I121" s="144">
        <v>6.8869999999999996</v>
      </c>
      <c r="J121" s="144">
        <f t="shared" si="18"/>
        <v>15.350999999999999</v>
      </c>
      <c r="K121" s="144">
        <v>1.2E-2</v>
      </c>
      <c r="L121" s="145">
        <f t="shared" si="19"/>
        <v>15.363</v>
      </c>
      <c r="M121" s="143">
        <v>16.559000000000001</v>
      </c>
      <c r="N121" s="144">
        <v>0</v>
      </c>
      <c r="O121" s="144">
        <v>-0.23799999999999999</v>
      </c>
      <c r="P121" s="144">
        <v>-7.5250000000000004</v>
      </c>
      <c r="Q121" s="144">
        <v>6.9109999999999996</v>
      </c>
      <c r="R121" s="144">
        <f t="shared" si="20"/>
        <v>15.707000000000001</v>
      </c>
      <c r="S121" s="144">
        <v>2.8000000000000001E-2</v>
      </c>
      <c r="T121" s="145">
        <f t="shared" si="21"/>
        <v>15.734999999999999</v>
      </c>
      <c r="U121" s="146">
        <f t="shared" si="22"/>
        <v>15.548999999999999</v>
      </c>
      <c r="V121" s="143">
        <v>15.638</v>
      </c>
      <c r="W121" s="144">
        <v>0</v>
      </c>
      <c r="X121" s="144">
        <v>6.8000000000000005E-2</v>
      </c>
      <c r="Y121" s="144">
        <v>-6.8739999999999997</v>
      </c>
      <c r="Z121" s="144">
        <v>7.1929999999999996</v>
      </c>
      <c r="AA121" s="144">
        <f t="shared" si="23"/>
        <v>16.024999999999999</v>
      </c>
      <c r="AB121" s="144">
        <v>0.184</v>
      </c>
      <c r="AC121" s="145">
        <f t="shared" si="24"/>
        <v>16.209</v>
      </c>
      <c r="AD121" s="146">
        <f t="shared" si="25"/>
        <v>0</v>
      </c>
      <c r="AE121" s="146">
        <v>0</v>
      </c>
      <c r="AF121" s="147"/>
      <c r="AG121" s="143">
        <f t="shared" si="26"/>
        <v>16.024999999999999</v>
      </c>
      <c r="AH121" s="144">
        <f t="shared" si="17"/>
        <v>0</v>
      </c>
      <c r="AI121" s="144">
        <v>0</v>
      </c>
      <c r="AJ121" s="144">
        <f t="shared" si="27"/>
        <v>16.024999999999999</v>
      </c>
      <c r="AK121" s="144">
        <f t="shared" si="28"/>
        <v>16.88084721983271</v>
      </c>
      <c r="AL121" s="144">
        <f t="shared" si="29"/>
        <v>0.184</v>
      </c>
      <c r="AM121" s="144">
        <f t="shared" si="30"/>
        <v>17.064847219832711</v>
      </c>
      <c r="AN121" s="144">
        <f t="shared" si="31"/>
        <v>16.677</v>
      </c>
      <c r="AO121" s="145">
        <f t="shared" si="32"/>
        <v>0</v>
      </c>
      <c r="AP121" s="148"/>
      <c r="AQ121" s="143">
        <v>0</v>
      </c>
      <c r="AR121" s="145">
        <f t="shared" si="33"/>
        <v>16.677</v>
      </c>
    </row>
    <row r="122" spans="1:44">
      <c r="A122" s="129" t="s">
        <v>366</v>
      </c>
      <c r="B122" s="130">
        <v>10370</v>
      </c>
      <c r="C122" s="131" t="s">
        <v>51</v>
      </c>
      <c r="D122" s="132">
        <v>188</v>
      </c>
      <c r="E122" s="149">
        <v>571.33699999999999</v>
      </c>
      <c r="F122" s="150">
        <v>0</v>
      </c>
      <c r="G122" s="150">
        <v>-4.0860000000000003</v>
      </c>
      <c r="H122" s="150">
        <v>0</v>
      </c>
      <c r="I122" s="150">
        <v>0</v>
      </c>
      <c r="J122" s="150">
        <f t="shared" si="18"/>
        <v>567.25099999999998</v>
      </c>
      <c r="K122" s="150">
        <v>1.0980000000000001</v>
      </c>
      <c r="L122" s="151">
        <f t="shared" si="19"/>
        <v>568.34900000000005</v>
      </c>
      <c r="M122" s="149">
        <v>581.84500000000003</v>
      </c>
      <c r="N122" s="150">
        <v>0</v>
      </c>
      <c r="O122" s="150">
        <v>-11.457000000000001</v>
      </c>
      <c r="P122" s="150">
        <v>0</v>
      </c>
      <c r="Q122" s="150">
        <v>0</v>
      </c>
      <c r="R122" s="150">
        <f t="shared" si="20"/>
        <v>570.38800000000003</v>
      </c>
      <c r="S122" s="150">
        <v>3.04</v>
      </c>
      <c r="T122" s="151">
        <f t="shared" si="21"/>
        <v>573.428</v>
      </c>
      <c r="U122" s="152">
        <f t="shared" si="22"/>
        <v>570.88900000000001</v>
      </c>
      <c r="V122" s="149">
        <v>560.9</v>
      </c>
      <c r="W122" s="150">
        <v>0</v>
      </c>
      <c r="X122" s="150">
        <v>2.4950000000000001</v>
      </c>
      <c r="Y122" s="150">
        <v>0</v>
      </c>
      <c r="Z122" s="150">
        <v>0</v>
      </c>
      <c r="AA122" s="150">
        <f t="shared" si="23"/>
        <v>563.39499999999998</v>
      </c>
      <c r="AB122" s="150">
        <v>10.375</v>
      </c>
      <c r="AC122" s="151">
        <f t="shared" si="24"/>
        <v>573.77</v>
      </c>
      <c r="AD122" s="152">
        <f t="shared" si="25"/>
        <v>0</v>
      </c>
      <c r="AE122" s="152">
        <v>0</v>
      </c>
      <c r="AF122" s="137"/>
      <c r="AG122" s="149">
        <f t="shared" si="26"/>
        <v>563.39499999999998</v>
      </c>
      <c r="AH122" s="150">
        <f t="shared" si="17"/>
        <v>0</v>
      </c>
      <c r="AI122" s="150">
        <v>-176.53</v>
      </c>
      <c r="AJ122" s="150">
        <f t="shared" si="27"/>
        <v>386.86500000000001</v>
      </c>
      <c r="AK122" s="150">
        <f t="shared" si="28"/>
        <v>407.52630013732175</v>
      </c>
      <c r="AL122" s="150">
        <f t="shared" si="29"/>
        <v>10.375</v>
      </c>
      <c r="AM122" s="150">
        <f t="shared" si="30"/>
        <v>417.90130013732175</v>
      </c>
      <c r="AN122" s="150">
        <f t="shared" si="31"/>
        <v>408.39299999999997</v>
      </c>
      <c r="AO122" s="151">
        <f t="shared" si="32"/>
        <v>0</v>
      </c>
      <c r="AP122" s="138"/>
      <c r="AQ122" s="149">
        <v>0</v>
      </c>
      <c r="AR122" s="151">
        <f t="shared" si="33"/>
        <v>408.39299999999997</v>
      </c>
    </row>
    <row r="123" spans="1:44">
      <c r="A123" s="139" t="s">
        <v>367</v>
      </c>
      <c r="B123" s="140">
        <v>10371</v>
      </c>
      <c r="C123" s="141" t="s">
        <v>368</v>
      </c>
      <c r="D123" s="142">
        <v>387</v>
      </c>
      <c r="E123" s="143">
        <v>8.0660000000000007</v>
      </c>
      <c r="F123" s="144">
        <v>0</v>
      </c>
      <c r="G123" s="144">
        <v>-7.1999999999999995E-2</v>
      </c>
      <c r="H123" s="144">
        <v>0</v>
      </c>
      <c r="I123" s="144">
        <v>0</v>
      </c>
      <c r="J123" s="144">
        <f t="shared" si="18"/>
        <v>7.9940000000000007</v>
      </c>
      <c r="K123" s="144">
        <v>2E-3</v>
      </c>
      <c r="L123" s="145">
        <f t="shared" si="19"/>
        <v>7.9960000000000004</v>
      </c>
      <c r="M123" s="143">
        <v>8.7889999999999997</v>
      </c>
      <c r="N123" s="144">
        <v>0</v>
      </c>
      <c r="O123" s="144">
        <v>-0.20899999999999999</v>
      </c>
      <c r="P123" s="144">
        <v>0</v>
      </c>
      <c r="Q123" s="144">
        <v>0</v>
      </c>
      <c r="R123" s="144">
        <f t="shared" si="20"/>
        <v>8.58</v>
      </c>
      <c r="S123" s="144">
        <v>1.7999999999999999E-2</v>
      </c>
      <c r="T123" s="145">
        <f t="shared" si="21"/>
        <v>8.5980000000000008</v>
      </c>
      <c r="U123" s="146">
        <f t="shared" si="22"/>
        <v>8.2970000000000006</v>
      </c>
      <c r="V123" s="143">
        <v>10.699</v>
      </c>
      <c r="W123" s="144">
        <v>0</v>
      </c>
      <c r="X123" s="144">
        <v>5.7000000000000002E-2</v>
      </c>
      <c r="Y123" s="144">
        <v>0</v>
      </c>
      <c r="Z123" s="144">
        <v>0</v>
      </c>
      <c r="AA123" s="144">
        <f t="shared" si="23"/>
        <v>10.756</v>
      </c>
      <c r="AB123" s="144">
        <v>0.127</v>
      </c>
      <c r="AC123" s="145">
        <f t="shared" si="24"/>
        <v>10.882999999999999</v>
      </c>
      <c r="AD123" s="146">
        <f t="shared" si="25"/>
        <v>0</v>
      </c>
      <c r="AE123" s="146">
        <v>0</v>
      </c>
      <c r="AF123" s="147"/>
      <c r="AG123" s="143">
        <f t="shared" si="26"/>
        <v>10.756</v>
      </c>
      <c r="AH123" s="144">
        <f t="shared" ref="AH123:AH144" si="34">IF(AD123&gt;AE123, AD123, AE123)</f>
        <v>0</v>
      </c>
      <c r="AI123" s="144">
        <v>0</v>
      </c>
      <c r="AJ123" s="144">
        <f t="shared" si="27"/>
        <v>10.756</v>
      </c>
      <c r="AK123" s="144">
        <f t="shared" si="28"/>
        <v>11.33044572209177</v>
      </c>
      <c r="AL123" s="144">
        <f t="shared" si="29"/>
        <v>0.127</v>
      </c>
      <c r="AM123" s="144">
        <f t="shared" si="30"/>
        <v>11.457445722091771</v>
      </c>
      <c r="AN123" s="144">
        <f t="shared" si="31"/>
        <v>11.196999999999999</v>
      </c>
      <c r="AO123" s="145">
        <f t="shared" si="32"/>
        <v>0</v>
      </c>
      <c r="AP123" s="148"/>
      <c r="AQ123" s="143">
        <v>0</v>
      </c>
      <c r="AR123" s="145">
        <f t="shared" si="33"/>
        <v>11.196999999999999</v>
      </c>
    </row>
    <row r="124" spans="1:44">
      <c r="A124" s="129" t="s">
        <v>369</v>
      </c>
      <c r="B124" s="130">
        <v>10376</v>
      </c>
      <c r="C124" s="131" t="s">
        <v>370</v>
      </c>
      <c r="D124" s="132">
        <v>288</v>
      </c>
      <c r="E124" s="149">
        <v>50.569000000000003</v>
      </c>
      <c r="F124" s="150">
        <v>0</v>
      </c>
      <c r="G124" s="150">
        <v>-1.153</v>
      </c>
      <c r="H124" s="150">
        <v>0</v>
      </c>
      <c r="I124" s="150">
        <v>0</v>
      </c>
      <c r="J124" s="150">
        <f t="shared" si="18"/>
        <v>49.416000000000004</v>
      </c>
      <c r="K124" s="150">
        <v>6.3E-2</v>
      </c>
      <c r="L124" s="151">
        <f t="shared" si="19"/>
        <v>49.478999999999999</v>
      </c>
      <c r="M124" s="149">
        <v>53.317999999999998</v>
      </c>
      <c r="N124" s="150">
        <v>0</v>
      </c>
      <c r="O124" s="150">
        <v>-2.0699999999999998</v>
      </c>
      <c r="P124" s="150">
        <v>0</v>
      </c>
      <c r="Q124" s="150">
        <v>0</v>
      </c>
      <c r="R124" s="150">
        <f t="shared" si="20"/>
        <v>51.247999999999998</v>
      </c>
      <c r="S124" s="150">
        <v>0.224</v>
      </c>
      <c r="T124" s="151">
        <f t="shared" si="21"/>
        <v>51.472000000000001</v>
      </c>
      <c r="U124" s="152">
        <f t="shared" si="22"/>
        <v>50.475999999999999</v>
      </c>
      <c r="V124" s="149">
        <v>54.213000000000001</v>
      </c>
      <c r="W124" s="150">
        <v>0</v>
      </c>
      <c r="X124" s="150">
        <v>0.29499999999999998</v>
      </c>
      <c r="Y124" s="150">
        <v>0</v>
      </c>
      <c r="Z124" s="150">
        <v>0</v>
      </c>
      <c r="AA124" s="150">
        <f t="shared" si="23"/>
        <v>54.508000000000003</v>
      </c>
      <c r="AB124" s="150">
        <v>0.77</v>
      </c>
      <c r="AC124" s="151">
        <f t="shared" si="24"/>
        <v>55.277999999999999</v>
      </c>
      <c r="AD124" s="152">
        <f t="shared" si="25"/>
        <v>0</v>
      </c>
      <c r="AE124" s="152">
        <v>0</v>
      </c>
      <c r="AF124" s="137"/>
      <c r="AG124" s="149">
        <f t="shared" si="26"/>
        <v>54.508000000000003</v>
      </c>
      <c r="AH124" s="150">
        <f t="shared" si="34"/>
        <v>0</v>
      </c>
      <c r="AI124" s="150">
        <v>0</v>
      </c>
      <c r="AJ124" s="150">
        <f t="shared" si="27"/>
        <v>54.508000000000003</v>
      </c>
      <c r="AK124" s="150">
        <f t="shared" si="28"/>
        <v>57.419108908495559</v>
      </c>
      <c r="AL124" s="150">
        <f t="shared" si="29"/>
        <v>0.77</v>
      </c>
      <c r="AM124" s="150">
        <f t="shared" si="30"/>
        <v>58.189108908495562</v>
      </c>
      <c r="AN124" s="150">
        <f t="shared" si="31"/>
        <v>56.865000000000002</v>
      </c>
      <c r="AO124" s="151">
        <f t="shared" si="32"/>
        <v>0</v>
      </c>
      <c r="AP124" s="138"/>
      <c r="AQ124" s="149">
        <v>0</v>
      </c>
      <c r="AR124" s="151">
        <f t="shared" si="33"/>
        <v>56.865000000000002</v>
      </c>
    </row>
    <row r="125" spans="1:44">
      <c r="A125" s="139" t="s">
        <v>371</v>
      </c>
      <c r="B125" s="140">
        <v>10097</v>
      </c>
      <c r="C125" s="141" t="s">
        <v>372</v>
      </c>
      <c r="D125" s="142">
        <v>189</v>
      </c>
      <c r="E125" s="143">
        <v>1.8779999999999999</v>
      </c>
      <c r="F125" s="144">
        <v>0</v>
      </c>
      <c r="G125" s="144">
        <v>4.0000000000000001E-3</v>
      </c>
      <c r="H125" s="144">
        <v>0</v>
      </c>
      <c r="I125" s="144">
        <v>0</v>
      </c>
      <c r="J125" s="144">
        <f t="shared" si="18"/>
        <v>1.8819999999999999</v>
      </c>
      <c r="K125" s="144">
        <v>0</v>
      </c>
      <c r="L125" s="145">
        <f t="shared" si="19"/>
        <v>1.8819999999999999</v>
      </c>
      <c r="M125" s="143">
        <v>1.9510000000000001</v>
      </c>
      <c r="N125" s="144">
        <v>0</v>
      </c>
      <c r="O125" s="144">
        <v>1.4E-2</v>
      </c>
      <c r="P125" s="144">
        <v>0</v>
      </c>
      <c r="Q125" s="144">
        <v>0</v>
      </c>
      <c r="R125" s="144">
        <f t="shared" si="20"/>
        <v>1.9650000000000001</v>
      </c>
      <c r="S125" s="144">
        <v>7.0000000000000001E-3</v>
      </c>
      <c r="T125" s="145">
        <f t="shared" si="21"/>
        <v>1.972</v>
      </c>
      <c r="U125" s="146">
        <f t="shared" si="22"/>
        <v>1.927</v>
      </c>
      <c r="V125" s="143">
        <v>1.9950000000000001</v>
      </c>
      <c r="W125" s="144">
        <v>0</v>
      </c>
      <c r="X125" s="144">
        <v>5.0000000000000001E-3</v>
      </c>
      <c r="Y125" s="144">
        <v>0</v>
      </c>
      <c r="Z125" s="144">
        <v>0</v>
      </c>
      <c r="AA125" s="144">
        <f t="shared" si="23"/>
        <v>2</v>
      </c>
      <c r="AB125" s="144">
        <v>8.9999999999999993E-3</v>
      </c>
      <c r="AC125" s="145">
        <f t="shared" si="24"/>
        <v>2.0089999999999999</v>
      </c>
      <c r="AD125" s="146">
        <f t="shared" si="25"/>
        <v>0</v>
      </c>
      <c r="AE125" s="146">
        <v>0</v>
      </c>
      <c r="AF125" s="147"/>
      <c r="AG125" s="143">
        <f t="shared" si="26"/>
        <v>2</v>
      </c>
      <c r="AH125" s="144">
        <f t="shared" si="34"/>
        <v>0</v>
      </c>
      <c r="AI125" s="144">
        <v>0</v>
      </c>
      <c r="AJ125" s="144">
        <f t="shared" si="27"/>
        <v>2</v>
      </c>
      <c r="AK125" s="144">
        <f t="shared" si="28"/>
        <v>2.1068140055953459</v>
      </c>
      <c r="AL125" s="144">
        <f t="shared" si="29"/>
        <v>8.9999999999999993E-3</v>
      </c>
      <c r="AM125" s="144">
        <f t="shared" si="30"/>
        <v>2.1158140055953458</v>
      </c>
      <c r="AN125" s="144">
        <f t="shared" si="31"/>
        <v>2.0680000000000001</v>
      </c>
      <c r="AO125" s="145">
        <f t="shared" si="32"/>
        <v>0</v>
      </c>
      <c r="AP125" s="148"/>
      <c r="AQ125" s="143">
        <v>0</v>
      </c>
      <c r="AR125" s="145">
        <f t="shared" si="33"/>
        <v>2.0680000000000001</v>
      </c>
    </row>
    <row r="126" spans="1:44">
      <c r="A126" s="129" t="s">
        <v>373</v>
      </c>
      <c r="B126" s="130">
        <v>10388</v>
      </c>
      <c r="C126" s="131" t="s">
        <v>374</v>
      </c>
      <c r="D126" s="132">
        <v>388</v>
      </c>
      <c r="E126" s="149">
        <v>103.809</v>
      </c>
      <c r="F126" s="150">
        <v>0</v>
      </c>
      <c r="G126" s="150">
        <v>-0.34899999999999998</v>
      </c>
      <c r="H126" s="150">
        <v>-36.061999999999998</v>
      </c>
      <c r="I126" s="150">
        <v>34.588000000000001</v>
      </c>
      <c r="J126" s="150">
        <f t="shared" si="18"/>
        <v>101.98599999999999</v>
      </c>
      <c r="K126" s="150">
        <v>0.104</v>
      </c>
      <c r="L126" s="151">
        <f t="shared" si="19"/>
        <v>102.09</v>
      </c>
      <c r="M126" s="149">
        <v>108.28400000000001</v>
      </c>
      <c r="N126" s="150">
        <v>0</v>
      </c>
      <c r="O126" s="150">
        <v>0.115</v>
      </c>
      <c r="P126" s="150">
        <v>-35.468000000000004</v>
      </c>
      <c r="Q126" s="150">
        <v>35.040999999999997</v>
      </c>
      <c r="R126" s="150">
        <f t="shared" si="20"/>
        <v>107.97199999999999</v>
      </c>
      <c r="S126" s="150">
        <v>0.54300000000000004</v>
      </c>
      <c r="T126" s="151">
        <f t="shared" si="21"/>
        <v>108.515</v>
      </c>
      <c r="U126" s="152">
        <f t="shared" si="22"/>
        <v>105.303</v>
      </c>
      <c r="V126" s="149">
        <v>105.759</v>
      </c>
      <c r="W126" s="150">
        <v>0</v>
      </c>
      <c r="X126" s="150">
        <v>0.69499999999999995</v>
      </c>
      <c r="Y126" s="150">
        <v>-31.6</v>
      </c>
      <c r="Z126" s="150">
        <v>33.963999999999999</v>
      </c>
      <c r="AA126" s="150">
        <f t="shared" si="23"/>
        <v>108.81799999999998</v>
      </c>
      <c r="AB126" s="150">
        <v>2.9580000000000002</v>
      </c>
      <c r="AC126" s="151">
        <f t="shared" si="24"/>
        <v>111.776</v>
      </c>
      <c r="AD126" s="152">
        <f t="shared" si="25"/>
        <v>0</v>
      </c>
      <c r="AE126" s="152">
        <v>0</v>
      </c>
      <c r="AF126" s="137"/>
      <c r="AG126" s="149">
        <f t="shared" si="26"/>
        <v>108.81799999999998</v>
      </c>
      <c r="AH126" s="150">
        <f t="shared" si="34"/>
        <v>0</v>
      </c>
      <c r="AI126" s="150">
        <v>0</v>
      </c>
      <c r="AJ126" s="150">
        <f t="shared" si="27"/>
        <v>108.81799999999998</v>
      </c>
      <c r="AK126" s="150">
        <f t="shared" si="28"/>
        <v>114.62964323043715</v>
      </c>
      <c r="AL126" s="150">
        <f t="shared" si="29"/>
        <v>2.9580000000000002</v>
      </c>
      <c r="AM126" s="150">
        <f t="shared" si="30"/>
        <v>117.58764323043715</v>
      </c>
      <c r="AN126" s="150">
        <f t="shared" si="31"/>
        <v>114.91200000000001</v>
      </c>
      <c r="AO126" s="151">
        <f t="shared" si="32"/>
        <v>0</v>
      </c>
      <c r="AP126" s="138"/>
      <c r="AQ126" s="149">
        <v>0</v>
      </c>
      <c r="AR126" s="151">
        <f t="shared" si="33"/>
        <v>114.91200000000001</v>
      </c>
    </row>
    <row r="127" spans="1:44">
      <c r="A127" s="139" t="s">
        <v>375</v>
      </c>
      <c r="B127" s="140">
        <v>10482</v>
      </c>
      <c r="C127" s="141" t="s">
        <v>376</v>
      </c>
      <c r="D127" s="142">
        <v>10482</v>
      </c>
      <c r="E127" s="143">
        <v>2.54</v>
      </c>
      <c r="F127" s="144">
        <v>0</v>
      </c>
      <c r="G127" s="144">
        <v>-8.0000000000000002E-3</v>
      </c>
      <c r="H127" s="144">
        <v>0</v>
      </c>
      <c r="I127" s="144">
        <v>0</v>
      </c>
      <c r="J127" s="144">
        <f t="shared" si="18"/>
        <v>2.532</v>
      </c>
      <c r="K127" s="144">
        <v>0</v>
      </c>
      <c r="L127" s="145">
        <f t="shared" si="19"/>
        <v>2.532</v>
      </c>
      <c r="M127" s="143">
        <v>2.5270000000000001</v>
      </c>
      <c r="N127" s="144">
        <v>0</v>
      </c>
      <c r="O127" s="144">
        <v>-0.03</v>
      </c>
      <c r="P127" s="144">
        <v>0</v>
      </c>
      <c r="Q127" s="144">
        <v>0</v>
      </c>
      <c r="R127" s="144">
        <f t="shared" si="20"/>
        <v>2.4970000000000003</v>
      </c>
      <c r="S127" s="144">
        <v>0</v>
      </c>
      <c r="T127" s="145">
        <f t="shared" si="21"/>
        <v>2.4969999999999999</v>
      </c>
      <c r="U127" s="146">
        <f t="shared" si="22"/>
        <v>2.5150000000000001</v>
      </c>
      <c r="V127" s="143">
        <v>2.7229999999999999</v>
      </c>
      <c r="W127" s="144">
        <v>0</v>
      </c>
      <c r="X127" s="144">
        <v>-3.0000000000000001E-3</v>
      </c>
      <c r="Y127" s="144">
        <v>0</v>
      </c>
      <c r="Z127" s="144">
        <v>0</v>
      </c>
      <c r="AA127" s="144">
        <f t="shared" si="23"/>
        <v>2.7199999999999998</v>
      </c>
      <c r="AB127" s="144">
        <v>0</v>
      </c>
      <c r="AC127" s="145">
        <f t="shared" si="24"/>
        <v>2.72</v>
      </c>
      <c r="AD127" s="146">
        <f t="shared" si="25"/>
        <v>0</v>
      </c>
      <c r="AE127" s="146">
        <v>0</v>
      </c>
      <c r="AF127" s="147"/>
      <c r="AG127" s="143">
        <f t="shared" si="26"/>
        <v>2.7199999999999998</v>
      </c>
      <c r="AH127" s="144">
        <f t="shared" si="34"/>
        <v>0</v>
      </c>
      <c r="AI127" s="144">
        <v>0</v>
      </c>
      <c r="AJ127" s="144">
        <f t="shared" si="27"/>
        <v>2.7199999999999998</v>
      </c>
      <c r="AK127" s="144">
        <f t="shared" si="28"/>
        <v>2.8652670476096702</v>
      </c>
      <c r="AL127" s="144">
        <f t="shared" si="29"/>
        <v>0</v>
      </c>
      <c r="AM127" s="144">
        <f t="shared" si="30"/>
        <v>2.8652670476096702</v>
      </c>
      <c r="AN127" s="144">
        <f t="shared" si="31"/>
        <v>2.8</v>
      </c>
      <c r="AO127" s="145">
        <f t="shared" si="32"/>
        <v>0</v>
      </c>
      <c r="AP127" s="148"/>
      <c r="AQ127" s="143">
        <v>0.78</v>
      </c>
      <c r="AR127" s="145">
        <f t="shared" si="33"/>
        <v>3.58</v>
      </c>
    </row>
    <row r="128" spans="1:44">
      <c r="A128" s="129" t="s">
        <v>377</v>
      </c>
      <c r="B128" s="130">
        <v>10391</v>
      </c>
      <c r="C128" s="131" t="s">
        <v>378</v>
      </c>
      <c r="D128" s="132">
        <v>311</v>
      </c>
      <c r="E128" s="149">
        <v>22.442</v>
      </c>
      <c r="F128" s="150">
        <v>0</v>
      </c>
      <c r="G128" s="150">
        <v>-0.08</v>
      </c>
      <c r="H128" s="150">
        <v>-6.6079999999999997</v>
      </c>
      <c r="I128" s="150">
        <v>6.3639999999999999</v>
      </c>
      <c r="J128" s="150">
        <f t="shared" si="18"/>
        <v>22.118000000000002</v>
      </c>
      <c r="K128" s="150">
        <v>2.8000000000000001E-2</v>
      </c>
      <c r="L128" s="151">
        <f t="shared" si="19"/>
        <v>22.146000000000001</v>
      </c>
      <c r="M128" s="149">
        <v>25.736000000000001</v>
      </c>
      <c r="N128" s="150">
        <v>0</v>
      </c>
      <c r="O128" s="150">
        <v>-0.215</v>
      </c>
      <c r="P128" s="150">
        <v>-6.8879999999999999</v>
      </c>
      <c r="Q128" s="150">
        <v>6.44</v>
      </c>
      <c r="R128" s="150">
        <f t="shared" si="20"/>
        <v>25.073000000000004</v>
      </c>
      <c r="S128" s="150">
        <v>0.125</v>
      </c>
      <c r="T128" s="151">
        <f t="shared" si="21"/>
        <v>25.198</v>
      </c>
      <c r="U128" s="152">
        <f t="shared" si="22"/>
        <v>23.672000000000001</v>
      </c>
      <c r="V128" s="149">
        <v>28.766999999999999</v>
      </c>
      <c r="W128" s="150">
        <v>0</v>
      </c>
      <c r="X128" s="150">
        <v>-1.7999999999999999E-2</v>
      </c>
      <c r="Y128" s="150">
        <v>-6.3159999999999998</v>
      </c>
      <c r="Z128" s="150">
        <v>6.7210000000000001</v>
      </c>
      <c r="AA128" s="150">
        <f t="shared" si="23"/>
        <v>29.154</v>
      </c>
      <c r="AB128" s="150">
        <v>0.42099999999999999</v>
      </c>
      <c r="AC128" s="151">
        <f t="shared" si="24"/>
        <v>29.574999999999999</v>
      </c>
      <c r="AD128" s="152">
        <f t="shared" si="25"/>
        <v>0</v>
      </c>
      <c r="AE128" s="152">
        <v>0</v>
      </c>
      <c r="AF128" s="137"/>
      <c r="AG128" s="149">
        <f t="shared" si="26"/>
        <v>29.154</v>
      </c>
      <c r="AH128" s="150">
        <f t="shared" si="34"/>
        <v>0</v>
      </c>
      <c r="AI128" s="150">
        <v>0</v>
      </c>
      <c r="AJ128" s="150">
        <f t="shared" si="27"/>
        <v>29.154</v>
      </c>
      <c r="AK128" s="150">
        <f t="shared" si="28"/>
        <v>30.711027759563358</v>
      </c>
      <c r="AL128" s="150">
        <f t="shared" si="29"/>
        <v>0.42099999999999999</v>
      </c>
      <c r="AM128" s="150">
        <f t="shared" si="30"/>
        <v>31.132027759563357</v>
      </c>
      <c r="AN128" s="150">
        <f t="shared" si="31"/>
        <v>30.423999999999999</v>
      </c>
      <c r="AO128" s="151">
        <f t="shared" si="32"/>
        <v>0</v>
      </c>
      <c r="AP128" s="138"/>
      <c r="AQ128" s="149">
        <v>0</v>
      </c>
      <c r="AR128" s="151">
        <f t="shared" si="33"/>
        <v>30.423999999999999</v>
      </c>
    </row>
    <row r="129" spans="1:44">
      <c r="A129" s="139" t="s">
        <v>379</v>
      </c>
      <c r="B129" s="140">
        <v>10399</v>
      </c>
      <c r="C129" s="141" t="s">
        <v>380</v>
      </c>
      <c r="D129" s="142">
        <v>482</v>
      </c>
      <c r="E129" s="143">
        <v>2.0750000000000002</v>
      </c>
      <c r="F129" s="144">
        <v>0</v>
      </c>
      <c r="G129" s="144">
        <v>0</v>
      </c>
      <c r="H129" s="144">
        <v>0</v>
      </c>
      <c r="I129" s="144">
        <v>0</v>
      </c>
      <c r="J129" s="144">
        <f t="shared" si="18"/>
        <v>2.0750000000000002</v>
      </c>
      <c r="K129" s="144">
        <v>0</v>
      </c>
      <c r="L129" s="145">
        <f t="shared" si="19"/>
        <v>2.0750000000000002</v>
      </c>
      <c r="M129" s="143">
        <v>1.925</v>
      </c>
      <c r="N129" s="144">
        <v>0</v>
      </c>
      <c r="O129" s="144">
        <v>0</v>
      </c>
      <c r="P129" s="144">
        <v>0</v>
      </c>
      <c r="Q129" s="144">
        <v>0</v>
      </c>
      <c r="R129" s="144">
        <f t="shared" si="20"/>
        <v>1.925</v>
      </c>
      <c r="S129" s="144">
        <v>0</v>
      </c>
      <c r="T129" s="145">
        <f t="shared" si="21"/>
        <v>1.925</v>
      </c>
      <c r="U129" s="146">
        <f t="shared" si="22"/>
        <v>2</v>
      </c>
      <c r="V129" s="143">
        <v>1.9690000000000001</v>
      </c>
      <c r="W129" s="144">
        <v>0</v>
      </c>
      <c r="X129" s="144">
        <v>0</v>
      </c>
      <c r="Y129" s="144">
        <v>0</v>
      </c>
      <c r="Z129" s="144">
        <v>0</v>
      </c>
      <c r="AA129" s="144">
        <f t="shared" si="23"/>
        <v>1.9690000000000001</v>
      </c>
      <c r="AB129" s="144">
        <v>0</v>
      </c>
      <c r="AC129" s="145">
        <f t="shared" si="24"/>
        <v>1.9690000000000001</v>
      </c>
      <c r="AD129" s="146">
        <f t="shared" si="25"/>
        <v>3.0999999999999917E-2</v>
      </c>
      <c r="AE129" s="146">
        <v>0</v>
      </c>
      <c r="AF129" s="147"/>
      <c r="AG129" s="143">
        <f t="shared" si="26"/>
        <v>1.9690000000000001</v>
      </c>
      <c r="AH129" s="144">
        <f t="shared" si="34"/>
        <v>3.0999999999999917E-2</v>
      </c>
      <c r="AI129" s="144">
        <v>-0.20699999999999999</v>
      </c>
      <c r="AJ129" s="144">
        <f t="shared" si="27"/>
        <v>1.7929999999999999</v>
      </c>
      <c r="AK129" s="144">
        <f t="shared" si="28"/>
        <v>1.8887587560162276</v>
      </c>
      <c r="AL129" s="144">
        <f t="shared" si="29"/>
        <v>0</v>
      </c>
      <c r="AM129" s="144">
        <f t="shared" si="30"/>
        <v>1.8887587560162276</v>
      </c>
      <c r="AN129" s="144">
        <f t="shared" si="31"/>
        <v>1.8460000000000001</v>
      </c>
      <c r="AO129" s="145">
        <f t="shared" si="32"/>
        <v>3.2000000000000001E-2</v>
      </c>
      <c r="AP129" s="148"/>
      <c r="AQ129" s="143">
        <v>0</v>
      </c>
      <c r="AR129" s="145">
        <f t="shared" si="33"/>
        <v>1.8460000000000001</v>
      </c>
    </row>
    <row r="130" spans="1:44">
      <c r="A130" s="129" t="s">
        <v>381</v>
      </c>
      <c r="B130" s="130">
        <v>10406</v>
      </c>
      <c r="C130" s="131" t="s">
        <v>382</v>
      </c>
      <c r="D130" s="132">
        <v>410</v>
      </c>
      <c r="E130" s="149">
        <v>0.438</v>
      </c>
      <c r="F130" s="150">
        <v>0</v>
      </c>
      <c r="G130" s="150">
        <v>-1E-3</v>
      </c>
      <c r="H130" s="150">
        <v>0</v>
      </c>
      <c r="I130" s="150">
        <v>0</v>
      </c>
      <c r="J130" s="150">
        <f t="shared" si="18"/>
        <v>0.437</v>
      </c>
      <c r="K130" s="150">
        <v>0</v>
      </c>
      <c r="L130" s="151">
        <f t="shared" si="19"/>
        <v>0.437</v>
      </c>
      <c r="M130" s="149">
        <v>0.43099999999999999</v>
      </c>
      <c r="N130" s="150">
        <v>0</v>
      </c>
      <c r="O130" s="150">
        <v>-1.9E-2</v>
      </c>
      <c r="P130" s="150">
        <v>0</v>
      </c>
      <c r="Q130" s="150">
        <v>0</v>
      </c>
      <c r="R130" s="150">
        <f t="shared" si="20"/>
        <v>0.41199999999999998</v>
      </c>
      <c r="S130" s="150">
        <v>0</v>
      </c>
      <c r="T130" s="151">
        <f t="shared" si="21"/>
        <v>0.41199999999999998</v>
      </c>
      <c r="U130" s="152">
        <f t="shared" si="22"/>
        <v>0.42499999999999999</v>
      </c>
      <c r="V130" s="149">
        <v>0.44700000000000001</v>
      </c>
      <c r="W130" s="150">
        <v>0</v>
      </c>
      <c r="X130" s="150">
        <v>5.0000000000000001E-3</v>
      </c>
      <c r="Y130" s="150">
        <v>0</v>
      </c>
      <c r="Z130" s="150">
        <v>0</v>
      </c>
      <c r="AA130" s="150">
        <f t="shared" si="23"/>
        <v>0.45200000000000001</v>
      </c>
      <c r="AB130" s="150">
        <v>0</v>
      </c>
      <c r="AC130" s="151">
        <f t="shared" si="24"/>
        <v>0.45200000000000001</v>
      </c>
      <c r="AD130" s="152">
        <f t="shared" si="25"/>
        <v>0</v>
      </c>
      <c r="AE130" s="152">
        <v>0</v>
      </c>
      <c r="AF130" s="137"/>
      <c r="AG130" s="149">
        <f t="shared" si="26"/>
        <v>0.45200000000000001</v>
      </c>
      <c r="AH130" s="150">
        <f t="shared" si="34"/>
        <v>0</v>
      </c>
      <c r="AI130" s="150">
        <v>0</v>
      </c>
      <c r="AJ130" s="150">
        <f t="shared" si="27"/>
        <v>0.45200000000000001</v>
      </c>
      <c r="AK130" s="150">
        <f t="shared" si="28"/>
        <v>0.47613996526454822</v>
      </c>
      <c r="AL130" s="150">
        <f t="shared" si="29"/>
        <v>0</v>
      </c>
      <c r="AM130" s="150">
        <f t="shared" si="30"/>
        <v>0.47613996526454822</v>
      </c>
      <c r="AN130" s="150">
        <f t="shared" si="31"/>
        <v>0.46500000000000002</v>
      </c>
      <c r="AO130" s="151">
        <f t="shared" si="32"/>
        <v>0</v>
      </c>
      <c r="AP130" s="138"/>
      <c r="AQ130" s="149">
        <v>0</v>
      </c>
      <c r="AR130" s="151">
        <f t="shared" si="33"/>
        <v>0.46500000000000002</v>
      </c>
    </row>
    <row r="131" spans="1:44">
      <c r="A131" s="139" t="s">
        <v>383</v>
      </c>
      <c r="B131" s="140">
        <v>10426</v>
      </c>
      <c r="C131" s="141" t="s">
        <v>384</v>
      </c>
      <c r="D131" s="142">
        <v>404</v>
      </c>
      <c r="E131" s="143">
        <v>21.088999999999999</v>
      </c>
      <c r="F131" s="144">
        <v>0</v>
      </c>
      <c r="G131" s="144">
        <v>-0.123</v>
      </c>
      <c r="H131" s="144">
        <v>0</v>
      </c>
      <c r="I131" s="144">
        <v>0</v>
      </c>
      <c r="J131" s="144">
        <f t="shared" si="18"/>
        <v>20.965999999999998</v>
      </c>
      <c r="K131" s="144">
        <v>0</v>
      </c>
      <c r="L131" s="145">
        <f t="shared" si="19"/>
        <v>20.966000000000001</v>
      </c>
      <c r="M131" s="143">
        <v>21.189</v>
      </c>
      <c r="N131" s="144">
        <v>0</v>
      </c>
      <c r="O131" s="144">
        <v>-0.11</v>
      </c>
      <c r="P131" s="144">
        <v>0</v>
      </c>
      <c r="Q131" s="144">
        <v>0</v>
      </c>
      <c r="R131" s="144">
        <f t="shared" si="20"/>
        <v>21.079000000000001</v>
      </c>
      <c r="S131" s="144">
        <v>0</v>
      </c>
      <c r="T131" s="145">
        <f t="shared" si="21"/>
        <v>21.079000000000001</v>
      </c>
      <c r="U131" s="146">
        <f t="shared" si="22"/>
        <v>21.023</v>
      </c>
      <c r="V131" s="143">
        <v>22.007000000000001</v>
      </c>
      <c r="W131" s="144">
        <v>0</v>
      </c>
      <c r="X131" s="144">
        <v>0</v>
      </c>
      <c r="Y131" s="144">
        <v>0</v>
      </c>
      <c r="Z131" s="144">
        <v>0</v>
      </c>
      <c r="AA131" s="144">
        <f t="shared" si="23"/>
        <v>22.007000000000001</v>
      </c>
      <c r="AB131" s="144">
        <v>8.1000000000000003E-2</v>
      </c>
      <c r="AC131" s="145">
        <f t="shared" si="24"/>
        <v>22.088000000000001</v>
      </c>
      <c r="AD131" s="146">
        <f t="shared" si="25"/>
        <v>0</v>
      </c>
      <c r="AE131" s="146">
        <v>0</v>
      </c>
      <c r="AF131" s="147"/>
      <c r="AG131" s="143">
        <f t="shared" si="26"/>
        <v>22.007000000000001</v>
      </c>
      <c r="AH131" s="144">
        <f t="shared" si="34"/>
        <v>0</v>
      </c>
      <c r="AI131" s="144">
        <v>0</v>
      </c>
      <c r="AJ131" s="144">
        <f t="shared" si="27"/>
        <v>22.007000000000001</v>
      </c>
      <c r="AK131" s="144">
        <f t="shared" si="28"/>
        <v>23.182327910568389</v>
      </c>
      <c r="AL131" s="144">
        <f t="shared" si="29"/>
        <v>8.1000000000000003E-2</v>
      </c>
      <c r="AM131" s="144">
        <f t="shared" si="30"/>
        <v>23.263327910568389</v>
      </c>
      <c r="AN131" s="144">
        <f t="shared" si="31"/>
        <v>22.734000000000002</v>
      </c>
      <c r="AO131" s="145">
        <f t="shared" si="32"/>
        <v>0</v>
      </c>
      <c r="AP131" s="148"/>
      <c r="AQ131" s="143">
        <v>3.916999999999998</v>
      </c>
      <c r="AR131" s="145">
        <f t="shared" si="33"/>
        <v>26.651</v>
      </c>
    </row>
    <row r="132" spans="1:44">
      <c r="A132" s="129" t="s">
        <v>385</v>
      </c>
      <c r="B132" s="130">
        <v>10409</v>
      </c>
      <c r="C132" s="131" t="s">
        <v>386</v>
      </c>
      <c r="D132" s="132">
        <v>490</v>
      </c>
      <c r="E132" s="149">
        <v>20.010000000000002</v>
      </c>
      <c r="F132" s="150">
        <v>0</v>
      </c>
      <c r="G132" s="150">
        <v>-0.16600000000000001</v>
      </c>
      <c r="H132" s="150">
        <v>0</v>
      </c>
      <c r="I132" s="150">
        <v>0</v>
      </c>
      <c r="J132" s="150">
        <f t="shared" si="18"/>
        <v>19.844000000000001</v>
      </c>
      <c r="K132" s="150">
        <v>0.01</v>
      </c>
      <c r="L132" s="151">
        <f t="shared" si="19"/>
        <v>19.853999999999999</v>
      </c>
      <c r="M132" s="149">
        <v>20.257999999999999</v>
      </c>
      <c r="N132" s="150">
        <v>0</v>
      </c>
      <c r="O132" s="150">
        <v>-0.36899999999999999</v>
      </c>
      <c r="P132" s="150">
        <v>0</v>
      </c>
      <c r="Q132" s="150">
        <v>0</v>
      </c>
      <c r="R132" s="150">
        <f t="shared" si="20"/>
        <v>19.888999999999999</v>
      </c>
      <c r="S132" s="150">
        <v>0.36399999999999999</v>
      </c>
      <c r="T132" s="151">
        <f t="shared" si="21"/>
        <v>20.253</v>
      </c>
      <c r="U132" s="152">
        <f t="shared" si="22"/>
        <v>20.053999999999998</v>
      </c>
      <c r="V132" s="149">
        <v>19.45</v>
      </c>
      <c r="W132" s="150">
        <v>0</v>
      </c>
      <c r="X132" s="150">
        <v>-0.17799999999999999</v>
      </c>
      <c r="Y132" s="150">
        <v>0</v>
      </c>
      <c r="Z132" s="150">
        <v>0</v>
      </c>
      <c r="AA132" s="150">
        <f t="shared" si="23"/>
        <v>19.271999999999998</v>
      </c>
      <c r="AB132" s="150">
        <v>0.90700000000000003</v>
      </c>
      <c r="AC132" s="151">
        <f t="shared" si="24"/>
        <v>20.178999999999998</v>
      </c>
      <c r="AD132" s="152">
        <f t="shared" si="25"/>
        <v>0</v>
      </c>
      <c r="AE132" s="152">
        <v>0</v>
      </c>
      <c r="AF132" s="137"/>
      <c r="AG132" s="149">
        <f t="shared" si="26"/>
        <v>19.271999999999998</v>
      </c>
      <c r="AH132" s="150">
        <f t="shared" si="34"/>
        <v>0</v>
      </c>
      <c r="AI132" s="150">
        <v>0</v>
      </c>
      <c r="AJ132" s="150">
        <f t="shared" si="27"/>
        <v>19.271999999999998</v>
      </c>
      <c r="AK132" s="150">
        <f t="shared" si="28"/>
        <v>20.301259757916753</v>
      </c>
      <c r="AL132" s="150">
        <f t="shared" si="29"/>
        <v>0.90700000000000003</v>
      </c>
      <c r="AM132" s="150">
        <f t="shared" si="30"/>
        <v>21.208259757916753</v>
      </c>
      <c r="AN132" s="150">
        <f t="shared" si="31"/>
        <v>20.725999999999999</v>
      </c>
      <c r="AO132" s="151">
        <f t="shared" si="32"/>
        <v>0</v>
      </c>
      <c r="AP132" s="138"/>
      <c r="AQ132" s="149">
        <v>0</v>
      </c>
      <c r="AR132" s="151">
        <f t="shared" si="33"/>
        <v>20.725999999999999</v>
      </c>
    </row>
    <row r="133" spans="1:44">
      <c r="A133" s="139" t="s">
        <v>387</v>
      </c>
      <c r="B133" s="140">
        <v>10408</v>
      </c>
      <c r="C133" s="141" t="s">
        <v>388</v>
      </c>
      <c r="D133" s="142">
        <v>491</v>
      </c>
      <c r="E133" s="143">
        <v>1.48</v>
      </c>
      <c r="F133" s="144">
        <v>0</v>
      </c>
      <c r="G133" s="144">
        <v>-3.0000000000000001E-3</v>
      </c>
      <c r="H133" s="144">
        <v>0</v>
      </c>
      <c r="I133" s="144">
        <v>0</v>
      </c>
      <c r="J133" s="144">
        <f t="shared" si="18"/>
        <v>1.4770000000000001</v>
      </c>
      <c r="K133" s="144">
        <v>0</v>
      </c>
      <c r="L133" s="145">
        <f t="shared" si="19"/>
        <v>1.4770000000000001</v>
      </c>
      <c r="M133" s="143">
        <v>1.514</v>
      </c>
      <c r="N133" s="144">
        <v>0</v>
      </c>
      <c r="O133" s="144">
        <v>-8.9999999999999993E-3</v>
      </c>
      <c r="P133" s="144">
        <v>0</v>
      </c>
      <c r="Q133" s="144">
        <v>0</v>
      </c>
      <c r="R133" s="144">
        <f t="shared" si="20"/>
        <v>1.5050000000000001</v>
      </c>
      <c r="S133" s="144">
        <v>0</v>
      </c>
      <c r="T133" s="145">
        <f t="shared" si="21"/>
        <v>1.5049999999999999</v>
      </c>
      <c r="U133" s="146">
        <f t="shared" si="22"/>
        <v>1.4910000000000001</v>
      </c>
      <c r="V133" s="143">
        <v>1.502</v>
      </c>
      <c r="W133" s="144">
        <v>0</v>
      </c>
      <c r="X133" s="144">
        <v>4.0000000000000001E-3</v>
      </c>
      <c r="Y133" s="144">
        <v>0</v>
      </c>
      <c r="Z133" s="144">
        <v>0</v>
      </c>
      <c r="AA133" s="144">
        <f t="shared" si="23"/>
        <v>1.506</v>
      </c>
      <c r="AB133" s="144">
        <v>0</v>
      </c>
      <c r="AC133" s="145">
        <f t="shared" si="24"/>
        <v>1.506</v>
      </c>
      <c r="AD133" s="146">
        <f t="shared" si="25"/>
        <v>0</v>
      </c>
      <c r="AE133" s="146">
        <v>0</v>
      </c>
      <c r="AF133" s="147"/>
      <c r="AG133" s="143">
        <f t="shared" si="26"/>
        <v>1.506</v>
      </c>
      <c r="AH133" s="144">
        <f t="shared" si="34"/>
        <v>0</v>
      </c>
      <c r="AI133" s="144">
        <v>0</v>
      </c>
      <c r="AJ133" s="144">
        <f t="shared" si="27"/>
        <v>1.506</v>
      </c>
      <c r="AK133" s="144">
        <f t="shared" si="28"/>
        <v>1.5864309462132955</v>
      </c>
      <c r="AL133" s="144">
        <f t="shared" si="29"/>
        <v>0</v>
      </c>
      <c r="AM133" s="144">
        <f t="shared" si="30"/>
        <v>1.5864309462132955</v>
      </c>
      <c r="AN133" s="144">
        <f t="shared" si="31"/>
        <v>1.55</v>
      </c>
      <c r="AO133" s="145">
        <f t="shared" si="32"/>
        <v>0</v>
      </c>
      <c r="AP133" s="148"/>
      <c r="AQ133" s="143">
        <v>0</v>
      </c>
      <c r="AR133" s="145">
        <f t="shared" si="33"/>
        <v>1.55</v>
      </c>
    </row>
    <row r="134" spans="1:44">
      <c r="A134" s="129" t="s">
        <v>389</v>
      </c>
      <c r="B134" s="130">
        <v>10326</v>
      </c>
      <c r="C134" s="131" t="s">
        <v>390</v>
      </c>
      <c r="D134" s="132">
        <v>451</v>
      </c>
      <c r="E134" s="149">
        <v>27.605</v>
      </c>
      <c r="F134" s="150">
        <v>0</v>
      </c>
      <c r="G134" s="150">
        <v>-0.156</v>
      </c>
      <c r="H134" s="150">
        <v>0</v>
      </c>
      <c r="I134" s="150">
        <v>0</v>
      </c>
      <c r="J134" s="150">
        <f t="shared" si="18"/>
        <v>27.449000000000002</v>
      </c>
      <c r="K134" s="150">
        <v>0.72299999999999998</v>
      </c>
      <c r="L134" s="151">
        <f t="shared" si="19"/>
        <v>28.172000000000001</v>
      </c>
      <c r="M134" s="149">
        <v>27.3</v>
      </c>
      <c r="N134" s="150">
        <v>0</v>
      </c>
      <c r="O134" s="150">
        <v>-0.33</v>
      </c>
      <c r="P134" s="150">
        <v>0</v>
      </c>
      <c r="Q134" s="150">
        <v>0</v>
      </c>
      <c r="R134" s="150">
        <f t="shared" si="20"/>
        <v>26.970000000000002</v>
      </c>
      <c r="S134" s="150">
        <v>1.3520000000000001</v>
      </c>
      <c r="T134" s="151">
        <f t="shared" si="21"/>
        <v>28.321999999999999</v>
      </c>
      <c r="U134" s="152">
        <f t="shared" si="22"/>
        <v>28.247</v>
      </c>
      <c r="V134" s="149">
        <v>28.059000000000001</v>
      </c>
      <c r="W134" s="150">
        <v>0</v>
      </c>
      <c r="X134" s="150">
        <v>-0.20699999999999999</v>
      </c>
      <c r="Y134" s="150">
        <v>0</v>
      </c>
      <c r="Z134" s="150">
        <v>0</v>
      </c>
      <c r="AA134" s="150">
        <f t="shared" si="23"/>
        <v>27.852</v>
      </c>
      <c r="AB134" s="150">
        <v>2.294</v>
      </c>
      <c r="AC134" s="151">
        <f t="shared" si="24"/>
        <v>30.146000000000001</v>
      </c>
      <c r="AD134" s="152">
        <f t="shared" si="25"/>
        <v>0</v>
      </c>
      <c r="AE134" s="152">
        <v>0</v>
      </c>
      <c r="AF134" s="137"/>
      <c r="AG134" s="149">
        <f t="shared" si="26"/>
        <v>27.852</v>
      </c>
      <c r="AH134" s="150">
        <f t="shared" si="34"/>
        <v>0</v>
      </c>
      <c r="AI134" s="150">
        <v>0</v>
      </c>
      <c r="AJ134" s="150">
        <f t="shared" si="27"/>
        <v>27.852</v>
      </c>
      <c r="AK134" s="150">
        <f t="shared" si="28"/>
        <v>29.339491841920786</v>
      </c>
      <c r="AL134" s="150">
        <f t="shared" si="29"/>
        <v>2.294</v>
      </c>
      <c r="AM134" s="150">
        <f t="shared" si="30"/>
        <v>31.633491841920787</v>
      </c>
      <c r="AN134" s="150">
        <f t="shared" si="31"/>
        <v>30.914000000000001</v>
      </c>
      <c r="AO134" s="151">
        <f t="shared" si="32"/>
        <v>0</v>
      </c>
      <c r="AP134" s="138"/>
      <c r="AQ134" s="149">
        <v>0</v>
      </c>
      <c r="AR134" s="151">
        <f t="shared" si="33"/>
        <v>30.914000000000001</v>
      </c>
    </row>
    <row r="135" spans="1:44">
      <c r="A135" s="139" t="s">
        <v>391</v>
      </c>
      <c r="B135" s="140">
        <v>10434</v>
      </c>
      <c r="C135" s="141" t="s">
        <v>392</v>
      </c>
      <c r="D135" s="142">
        <v>191</v>
      </c>
      <c r="E135" s="143">
        <v>25.962</v>
      </c>
      <c r="F135" s="144">
        <v>0</v>
      </c>
      <c r="G135" s="144">
        <v>-0.221</v>
      </c>
      <c r="H135" s="144">
        <v>0</v>
      </c>
      <c r="I135" s="144">
        <v>0</v>
      </c>
      <c r="J135" s="144">
        <f t="shared" si="18"/>
        <v>25.741</v>
      </c>
      <c r="K135" s="144">
        <v>2E-3</v>
      </c>
      <c r="L135" s="145">
        <f t="shared" si="19"/>
        <v>25.742999999999999</v>
      </c>
      <c r="M135" s="143">
        <v>26.66</v>
      </c>
      <c r="N135" s="144">
        <v>0</v>
      </c>
      <c r="O135" s="144">
        <v>-0.42899999999999999</v>
      </c>
      <c r="P135" s="144">
        <v>0</v>
      </c>
      <c r="Q135" s="144">
        <v>0</v>
      </c>
      <c r="R135" s="144">
        <f t="shared" si="20"/>
        <v>26.231000000000002</v>
      </c>
      <c r="S135" s="144">
        <v>0.19400000000000001</v>
      </c>
      <c r="T135" s="145">
        <f t="shared" si="21"/>
        <v>26.425000000000001</v>
      </c>
      <c r="U135" s="146">
        <f t="shared" si="22"/>
        <v>26.084</v>
      </c>
      <c r="V135" s="143">
        <v>26.073</v>
      </c>
      <c r="W135" s="144">
        <v>0</v>
      </c>
      <c r="X135" s="144">
        <v>0.20300000000000001</v>
      </c>
      <c r="Y135" s="144">
        <v>0</v>
      </c>
      <c r="Z135" s="144">
        <v>0</v>
      </c>
      <c r="AA135" s="144">
        <f t="shared" si="23"/>
        <v>26.276</v>
      </c>
      <c r="AB135" s="144">
        <v>0.52400000000000002</v>
      </c>
      <c r="AC135" s="145">
        <f t="shared" si="24"/>
        <v>26.8</v>
      </c>
      <c r="AD135" s="146">
        <f t="shared" si="25"/>
        <v>0</v>
      </c>
      <c r="AE135" s="146">
        <v>0</v>
      </c>
      <c r="AF135" s="147"/>
      <c r="AG135" s="143">
        <f t="shared" si="26"/>
        <v>26.276</v>
      </c>
      <c r="AH135" s="144">
        <f t="shared" si="34"/>
        <v>0</v>
      </c>
      <c r="AI135" s="144">
        <v>0</v>
      </c>
      <c r="AJ135" s="144">
        <f t="shared" si="27"/>
        <v>26.276</v>
      </c>
      <c r="AK135" s="144">
        <f t="shared" si="28"/>
        <v>27.679322405511655</v>
      </c>
      <c r="AL135" s="144">
        <f t="shared" si="29"/>
        <v>0.52400000000000002</v>
      </c>
      <c r="AM135" s="144">
        <f t="shared" si="30"/>
        <v>28.203322405511656</v>
      </c>
      <c r="AN135" s="144">
        <f t="shared" si="31"/>
        <v>27.562000000000001</v>
      </c>
      <c r="AO135" s="145">
        <f t="shared" si="32"/>
        <v>0</v>
      </c>
      <c r="AP135" s="148"/>
      <c r="AQ135" s="143">
        <v>0</v>
      </c>
      <c r="AR135" s="145">
        <f t="shared" si="33"/>
        <v>27.562000000000001</v>
      </c>
    </row>
    <row r="136" spans="1:44">
      <c r="A136" s="129" t="s">
        <v>393</v>
      </c>
      <c r="B136" s="130">
        <v>10436</v>
      </c>
      <c r="C136" s="131" t="s">
        <v>394</v>
      </c>
      <c r="D136" s="132">
        <v>390</v>
      </c>
      <c r="E136" s="149">
        <v>17.73</v>
      </c>
      <c r="F136" s="150">
        <v>0</v>
      </c>
      <c r="G136" s="150">
        <v>-6.3E-2</v>
      </c>
      <c r="H136" s="150">
        <v>-5.7160000000000002</v>
      </c>
      <c r="I136" s="150">
        <v>5.508</v>
      </c>
      <c r="J136" s="150">
        <f t="shared" si="18"/>
        <v>17.459</v>
      </c>
      <c r="K136" s="150">
        <v>1.6E-2</v>
      </c>
      <c r="L136" s="151">
        <f t="shared" si="19"/>
        <v>17.475000000000001</v>
      </c>
      <c r="M136" s="149">
        <v>18.690000000000001</v>
      </c>
      <c r="N136" s="150">
        <v>0</v>
      </c>
      <c r="O136" s="150">
        <v>-2.5999999999999999E-2</v>
      </c>
      <c r="P136" s="150">
        <v>-5.7450000000000001</v>
      </c>
      <c r="Q136" s="150">
        <v>5.5129999999999999</v>
      </c>
      <c r="R136" s="150">
        <f t="shared" si="20"/>
        <v>18.432000000000002</v>
      </c>
      <c r="S136" s="150">
        <v>3.5999999999999997E-2</v>
      </c>
      <c r="T136" s="151">
        <f t="shared" si="21"/>
        <v>18.468</v>
      </c>
      <c r="U136" s="152">
        <f t="shared" si="22"/>
        <v>17.972000000000001</v>
      </c>
      <c r="V136" s="149">
        <v>17.763999999999999</v>
      </c>
      <c r="W136" s="150">
        <v>0</v>
      </c>
      <c r="X136" s="150">
        <v>7.0999999999999994E-2</v>
      </c>
      <c r="Y136" s="150">
        <v>-4.4790000000000001</v>
      </c>
      <c r="Z136" s="150">
        <v>5.4409999999999998</v>
      </c>
      <c r="AA136" s="150">
        <f t="shared" si="23"/>
        <v>18.797000000000001</v>
      </c>
      <c r="AB136" s="150">
        <v>0.09</v>
      </c>
      <c r="AC136" s="151">
        <f t="shared" si="24"/>
        <v>18.887</v>
      </c>
      <c r="AD136" s="152">
        <f t="shared" si="25"/>
        <v>0</v>
      </c>
      <c r="AE136" s="152">
        <v>0</v>
      </c>
      <c r="AF136" s="137"/>
      <c r="AG136" s="149">
        <f t="shared" si="26"/>
        <v>18.797000000000001</v>
      </c>
      <c r="AH136" s="150">
        <f t="shared" si="34"/>
        <v>0</v>
      </c>
      <c r="AI136" s="150">
        <v>0</v>
      </c>
      <c r="AJ136" s="150">
        <f t="shared" si="27"/>
        <v>18.797000000000001</v>
      </c>
      <c r="AK136" s="150">
        <f t="shared" si="28"/>
        <v>19.800891431587861</v>
      </c>
      <c r="AL136" s="150">
        <f t="shared" si="29"/>
        <v>0.09</v>
      </c>
      <c r="AM136" s="150">
        <f t="shared" si="30"/>
        <v>19.89089143158786</v>
      </c>
      <c r="AN136" s="150">
        <f t="shared" si="31"/>
        <v>19.437999999999999</v>
      </c>
      <c r="AO136" s="151">
        <f t="shared" si="32"/>
        <v>0</v>
      </c>
      <c r="AP136" s="138"/>
      <c r="AQ136" s="149">
        <v>0</v>
      </c>
      <c r="AR136" s="151">
        <f t="shared" si="33"/>
        <v>19.437999999999999</v>
      </c>
    </row>
    <row r="137" spans="1:44">
      <c r="A137" s="139" t="s">
        <v>395</v>
      </c>
      <c r="B137" s="140">
        <v>10440</v>
      </c>
      <c r="C137" s="141" t="s">
        <v>396</v>
      </c>
      <c r="D137" s="142">
        <v>293</v>
      </c>
      <c r="E137" s="143">
        <v>4.92</v>
      </c>
      <c r="F137" s="144">
        <v>0</v>
      </c>
      <c r="G137" s="144">
        <v>-9.0999999999999998E-2</v>
      </c>
      <c r="H137" s="144">
        <v>0</v>
      </c>
      <c r="I137" s="144">
        <v>0</v>
      </c>
      <c r="J137" s="144">
        <f t="shared" si="18"/>
        <v>4.8289999999999997</v>
      </c>
      <c r="K137" s="144">
        <v>0</v>
      </c>
      <c r="L137" s="145">
        <f t="shared" si="19"/>
        <v>4.8289999999999997</v>
      </c>
      <c r="M137" s="143">
        <v>5.1740000000000004</v>
      </c>
      <c r="N137" s="144">
        <v>0</v>
      </c>
      <c r="O137" s="144">
        <v>-0.24399999999999999</v>
      </c>
      <c r="P137" s="144">
        <v>0</v>
      </c>
      <c r="Q137" s="144">
        <v>0</v>
      </c>
      <c r="R137" s="144">
        <f t="shared" si="20"/>
        <v>4.9300000000000006</v>
      </c>
      <c r="S137" s="144">
        <v>2.1999999999999999E-2</v>
      </c>
      <c r="T137" s="145">
        <f t="shared" si="21"/>
        <v>4.952</v>
      </c>
      <c r="U137" s="146">
        <f t="shared" si="22"/>
        <v>4.891</v>
      </c>
      <c r="V137" s="143">
        <v>4.8719999999999999</v>
      </c>
      <c r="W137" s="144">
        <v>0</v>
      </c>
      <c r="X137" s="144">
        <v>9.2999999999999999E-2</v>
      </c>
      <c r="Y137" s="144">
        <v>0</v>
      </c>
      <c r="Z137" s="144">
        <v>0</v>
      </c>
      <c r="AA137" s="144">
        <f t="shared" si="23"/>
        <v>4.9649999999999999</v>
      </c>
      <c r="AB137" s="144">
        <v>3.7999999999999999E-2</v>
      </c>
      <c r="AC137" s="145">
        <f t="shared" si="24"/>
        <v>5.0030000000000001</v>
      </c>
      <c r="AD137" s="146">
        <f t="shared" si="25"/>
        <v>0</v>
      </c>
      <c r="AE137" s="146">
        <v>0</v>
      </c>
      <c r="AF137" s="147"/>
      <c r="AG137" s="143">
        <f t="shared" si="26"/>
        <v>4.9649999999999999</v>
      </c>
      <c r="AH137" s="144">
        <f t="shared" si="34"/>
        <v>0</v>
      </c>
      <c r="AI137" s="144">
        <v>-6.6000000000000003E-2</v>
      </c>
      <c r="AJ137" s="144">
        <f t="shared" si="27"/>
        <v>4.899</v>
      </c>
      <c r="AK137" s="144">
        <f t="shared" si="28"/>
        <v>5.1606409067058001</v>
      </c>
      <c r="AL137" s="144">
        <f t="shared" si="29"/>
        <v>3.7999999999999999E-2</v>
      </c>
      <c r="AM137" s="144">
        <f t="shared" si="30"/>
        <v>5.1986409067058004</v>
      </c>
      <c r="AN137" s="144">
        <f t="shared" si="31"/>
        <v>5.08</v>
      </c>
      <c r="AO137" s="145">
        <f t="shared" si="32"/>
        <v>0</v>
      </c>
      <c r="AP137" s="148"/>
      <c r="AQ137" s="143">
        <v>0</v>
      </c>
      <c r="AR137" s="145">
        <f t="shared" si="33"/>
        <v>5.08</v>
      </c>
    </row>
    <row r="138" spans="1:44">
      <c r="A138" s="129" t="s">
        <v>397</v>
      </c>
      <c r="B138" s="130">
        <v>10442</v>
      </c>
      <c r="C138" s="131" t="s">
        <v>398</v>
      </c>
      <c r="D138" s="132">
        <v>394</v>
      </c>
      <c r="E138" s="149">
        <v>11.923</v>
      </c>
      <c r="F138" s="150">
        <v>0</v>
      </c>
      <c r="G138" s="150">
        <v>-8.4000000000000005E-2</v>
      </c>
      <c r="H138" s="150">
        <v>-1.4670000000000001</v>
      </c>
      <c r="I138" s="150">
        <v>1.458</v>
      </c>
      <c r="J138" s="150">
        <f t="shared" si="18"/>
        <v>11.83</v>
      </c>
      <c r="K138" s="150">
        <v>1E-3</v>
      </c>
      <c r="L138" s="151">
        <f t="shared" si="19"/>
        <v>11.831</v>
      </c>
      <c r="M138" s="149">
        <v>12.381</v>
      </c>
      <c r="N138" s="150">
        <v>0</v>
      </c>
      <c r="O138" s="150">
        <v>-0.186</v>
      </c>
      <c r="P138" s="150">
        <v>-1.522</v>
      </c>
      <c r="Q138" s="150">
        <v>1.458</v>
      </c>
      <c r="R138" s="150">
        <f t="shared" si="20"/>
        <v>12.131</v>
      </c>
      <c r="S138" s="150">
        <v>5.0000000000000001E-3</v>
      </c>
      <c r="T138" s="151">
        <f t="shared" si="21"/>
        <v>12.135999999999999</v>
      </c>
      <c r="U138" s="152">
        <f t="shared" si="22"/>
        <v>11.984</v>
      </c>
      <c r="V138" s="149">
        <v>13.03</v>
      </c>
      <c r="W138" s="150">
        <v>0</v>
      </c>
      <c r="X138" s="150">
        <v>1.6E-2</v>
      </c>
      <c r="Y138" s="150">
        <v>-1.383</v>
      </c>
      <c r="Z138" s="150">
        <v>1.466</v>
      </c>
      <c r="AA138" s="150">
        <f t="shared" si="23"/>
        <v>13.129</v>
      </c>
      <c r="AB138" s="150">
        <v>8.2000000000000003E-2</v>
      </c>
      <c r="AC138" s="151">
        <f t="shared" si="24"/>
        <v>13.211</v>
      </c>
      <c r="AD138" s="152">
        <f t="shared" si="25"/>
        <v>0</v>
      </c>
      <c r="AE138" s="152">
        <v>0</v>
      </c>
      <c r="AF138" s="137"/>
      <c r="AG138" s="149">
        <f t="shared" si="26"/>
        <v>13.129</v>
      </c>
      <c r="AH138" s="150">
        <f t="shared" si="34"/>
        <v>0</v>
      </c>
      <c r="AI138" s="150">
        <v>0</v>
      </c>
      <c r="AJ138" s="150">
        <f t="shared" si="27"/>
        <v>13.129</v>
      </c>
      <c r="AK138" s="150">
        <f t="shared" si="28"/>
        <v>13.830180539730648</v>
      </c>
      <c r="AL138" s="150">
        <f t="shared" si="29"/>
        <v>8.2000000000000003E-2</v>
      </c>
      <c r="AM138" s="150">
        <f t="shared" si="30"/>
        <v>13.912180539730649</v>
      </c>
      <c r="AN138" s="150">
        <f t="shared" si="31"/>
        <v>13.596</v>
      </c>
      <c r="AO138" s="151">
        <f t="shared" si="32"/>
        <v>0</v>
      </c>
      <c r="AP138" s="138"/>
      <c r="AQ138" s="149">
        <v>0</v>
      </c>
      <c r="AR138" s="151">
        <f t="shared" si="33"/>
        <v>13.596</v>
      </c>
    </row>
    <row r="139" spans="1:44">
      <c r="A139" s="139" t="s">
        <v>399</v>
      </c>
      <c r="B139" s="140">
        <v>11680</v>
      </c>
      <c r="C139" s="141" t="s">
        <v>400</v>
      </c>
      <c r="D139" s="142">
        <v>11680</v>
      </c>
      <c r="E139" s="143">
        <v>4.2750000000000004</v>
      </c>
      <c r="F139" s="144">
        <v>0</v>
      </c>
      <c r="G139" s="144">
        <v>-5.8000000000000003E-2</v>
      </c>
      <c r="H139" s="144">
        <v>0</v>
      </c>
      <c r="I139" s="144">
        <v>0</v>
      </c>
      <c r="J139" s="144">
        <f t="shared" si="18"/>
        <v>4.2170000000000005</v>
      </c>
      <c r="K139" s="144">
        <v>8.9999999999999993E-3</v>
      </c>
      <c r="L139" s="145">
        <f t="shared" si="19"/>
        <v>4.226</v>
      </c>
      <c r="M139" s="143">
        <v>6.1360000000000001</v>
      </c>
      <c r="N139" s="144">
        <v>0</v>
      </c>
      <c r="O139" s="144">
        <v>-7.4999999999999997E-2</v>
      </c>
      <c r="P139" s="144">
        <v>0</v>
      </c>
      <c r="Q139" s="144">
        <v>0</v>
      </c>
      <c r="R139" s="144">
        <f t="shared" si="20"/>
        <v>6.0609999999999999</v>
      </c>
      <c r="S139" s="144">
        <v>1.0999999999999999E-2</v>
      </c>
      <c r="T139" s="145">
        <f t="shared" si="21"/>
        <v>6.0720000000000001</v>
      </c>
      <c r="U139" s="146">
        <f t="shared" si="22"/>
        <v>5.149</v>
      </c>
      <c r="V139" s="143">
        <v>6.1310000000000002</v>
      </c>
      <c r="W139" s="144">
        <v>0</v>
      </c>
      <c r="X139" s="144">
        <v>4.9000000000000002E-2</v>
      </c>
      <c r="Y139" s="144">
        <v>0</v>
      </c>
      <c r="Z139" s="144">
        <v>0</v>
      </c>
      <c r="AA139" s="144">
        <f t="shared" si="23"/>
        <v>6.1800000000000006</v>
      </c>
      <c r="AB139" s="144">
        <v>6.2E-2</v>
      </c>
      <c r="AC139" s="145">
        <f t="shared" si="24"/>
        <v>6.242</v>
      </c>
      <c r="AD139" s="146">
        <f t="shared" si="25"/>
        <v>0</v>
      </c>
      <c r="AE139" s="146">
        <v>0</v>
      </c>
      <c r="AF139" s="147"/>
      <c r="AG139" s="143">
        <f t="shared" si="26"/>
        <v>6.1800000000000006</v>
      </c>
      <c r="AH139" s="144">
        <f t="shared" si="34"/>
        <v>0</v>
      </c>
      <c r="AI139" s="144">
        <v>0</v>
      </c>
      <c r="AJ139" s="144">
        <f t="shared" si="27"/>
        <v>6.1800000000000006</v>
      </c>
      <c r="AK139" s="144">
        <f t="shared" si="28"/>
        <v>6.5100552772896192</v>
      </c>
      <c r="AL139" s="144">
        <f t="shared" si="29"/>
        <v>6.2E-2</v>
      </c>
      <c r="AM139" s="144">
        <f t="shared" si="30"/>
        <v>6.5720552772896195</v>
      </c>
      <c r="AN139" s="144">
        <f t="shared" si="31"/>
        <v>6.423</v>
      </c>
      <c r="AO139" s="145">
        <f t="shared" si="32"/>
        <v>0</v>
      </c>
      <c r="AP139" s="148"/>
      <c r="AQ139" s="143">
        <v>0</v>
      </c>
      <c r="AR139" s="145">
        <f t="shared" si="33"/>
        <v>6.423</v>
      </c>
    </row>
    <row r="140" spans="1:44">
      <c r="A140" s="129" t="s">
        <v>401</v>
      </c>
      <c r="B140" s="130">
        <v>10446</v>
      </c>
      <c r="C140" s="131" t="s">
        <v>402</v>
      </c>
      <c r="D140" s="132">
        <v>396</v>
      </c>
      <c r="E140" s="149">
        <v>91.236000000000004</v>
      </c>
      <c r="F140" s="150">
        <v>0</v>
      </c>
      <c r="G140" s="150">
        <v>-6.0000000000000001E-3</v>
      </c>
      <c r="H140" s="150">
        <v>-0.96399999999999997</v>
      </c>
      <c r="I140" s="150">
        <v>0.90900000000000003</v>
      </c>
      <c r="J140" s="150">
        <f>SUM(E140:I140)</f>
        <v>91.175000000000011</v>
      </c>
      <c r="K140" s="150">
        <v>2.5999999999999999E-2</v>
      </c>
      <c r="L140" s="151">
        <f>ROUND(J140+K140, 3)</f>
        <v>91.200999999999993</v>
      </c>
      <c r="M140" s="149">
        <v>94.721999999999994</v>
      </c>
      <c r="N140" s="150">
        <v>0</v>
      </c>
      <c r="O140" s="150">
        <v>-6.7000000000000004E-2</v>
      </c>
      <c r="P140" s="150">
        <v>-1.0309999999999999</v>
      </c>
      <c r="Q140" s="150">
        <v>0.92900000000000005</v>
      </c>
      <c r="R140" s="150">
        <f>SUM(M140:Q140)</f>
        <v>94.552999999999997</v>
      </c>
      <c r="S140" s="150">
        <v>4.8000000000000001E-2</v>
      </c>
      <c r="T140" s="151">
        <f>ROUND(R140+S140, 3)</f>
        <v>94.600999999999999</v>
      </c>
      <c r="U140" s="152">
        <f>ROUND(+(L140+T140)/2, 3)</f>
        <v>92.900999999999996</v>
      </c>
      <c r="V140" s="149">
        <v>93.808999999999997</v>
      </c>
      <c r="W140" s="150">
        <v>0</v>
      </c>
      <c r="X140" s="150">
        <v>-3.9E-2</v>
      </c>
      <c r="Y140" s="150">
        <v>-0.80400000000000005</v>
      </c>
      <c r="Z140" s="150">
        <v>0.95799999999999996</v>
      </c>
      <c r="AA140" s="150">
        <f>SUM(V140:Z140)</f>
        <v>93.923999999999992</v>
      </c>
      <c r="AB140" s="150">
        <v>0.52300000000000002</v>
      </c>
      <c r="AC140" s="151">
        <f>ROUND(AA140+AB140, 3)</f>
        <v>94.447000000000003</v>
      </c>
      <c r="AD140" s="152">
        <f>IF(U140-AC140&gt;0, U140-AC140, 0)</f>
        <v>0</v>
      </c>
      <c r="AE140" s="152">
        <v>0</v>
      </c>
      <c r="AF140" s="137"/>
      <c r="AG140" s="149">
        <f>AA140</f>
        <v>93.923999999999992</v>
      </c>
      <c r="AH140" s="150">
        <f t="shared" si="34"/>
        <v>0</v>
      </c>
      <c r="AI140" s="150">
        <v>0</v>
      </c>
      <c r="AJ140" s="150">
        <f>SUM(AG140:AI140)</f>
        <v>93.923999999999992</v>
      </c>
      <c r="AK140" s="150">
        <f>AJ140*($AK$6/$AK$3)</f>
        <v>98.940199330768621</v>
      </c>
      <c r="AL140" s="150">
        <f>AB140</f>
        <v>0.52300000000000002</v>
      </c>
      <c r="AM140" s="150">
        <f>AK140+AL140</f>
        <v>99.463199330768617</v>
      </c>
      <c r="AN140" s="150">
        <f>ROUND(AM140*($AK$4/$AK$5), 3)</f>
        <v>97.2</v>
      </c>
      <c r="AO140" s="151">
        <f>ROUND(IF(AH140&gt;0, AN140*(AH140/AJ140), 0), 3)</f>
        <v>0</v>
      </c>
      <c r="AP140" s="138"/>
      <c r="AQ140" s="149">
        <v>0</v>
      </c>
      <c r="AR140" s="151">
        <f>AN140+AQ140</f>
        <v>97.2</v>
      </c>
    </row>
    <row r="141" spans="1:44">
      <c r="A141" s="139" t="s">
        <v>403</v>
      </c>
      <c r="B141" s="140">
        <v>10448</v>
      </c>
      <c r="C141" s="141" t="s">
        <v>52</v>
      </c>
      <c r="D141" s="142">
        <v>397</v>
      </c>
      <c r="E141" s="143">
        <v>8.4079999999999995</v>
      </c>
      <c r="F141" s="144">
        <v>0</v>
      </c>
      <c r="G141" s="144">
        <v>-6.9000000000000006E-2</v>
      </c>
      <c r="H141" s="144">
        <v>0</v>
      </c>
      <c r="I141" s="144">
        <v>0</v>
      </c>
      <c r="J141" s="144">
        <f>SUM(E141:I141)</f>
        <v>8.3389999999999986</v>
      </c>
      <c r="K141" s="144">
        <v>3.0000000000000001E-3</v>
      </c>
      <c r="L141" s="145">
        <f>ROUND(J141+K141, 3)</f>
        <v>8.3420000000000005</v>
      </c>
      <c r="M141" s="143">
        <v>8.89</v>
      </c>
      <c r="N141" s="144">
        <v>0</v>
      </c>
      <c r="O141" s="144">
        <v>-0.27100000000000002</v>
      </c>
      <c r="P141" s="144">
        <v>0</v>
      </c>
      <c r="Q141" s="144">
        <v>0</v>
      </c>
      <c r="R141" s="144">
        <f>SUM(M141:Q141)</f>
        <v>8.6189999999999998</v>
      </c>
      <c r="S141" s="144">
        <v>1.2999999999999999E-2</v>
      </c>
      <c r="T141" s="145">
        <f>ROUND(R141+S141, 3)</f>
        <v>8.6319999999999997</v>
      </c>
      <c r="U141" s="146">
        <f>ROUND(+(L141+T141)/2, 3)</f>
        <v>8.4870000000000001</v>
      </c>
      <c r="V141" s="143">
        <v>8.3699999999999992</v>
      </c>
      <c r="W141" s="144">
        <v>0</v>
      </c>
      <c r="X141" s="144">
        <v>-4.8000000000000001E-2</v>
      </c>
      <c r="Y141" s="144">
        <v>0</v>
      </c>
      <c r="Z141" s="144">
        <v>0</v>
      </c>
      <c r="AA141" s="144">
        <f>SUM(V141:Z141)</f>
        <v>8.3219999999999992</v>
      </c>
      <c r="AB141" s="144">
        <v>4.2000000000000003E-2</v>
      </c>
      <c r="AC141" s="145">
        <f>ROUND(AA141+AB141, 3)</f>
        <v>8.3640000000000008</v>
      </c>
      <c r="AD141" s="146">
        <f>IF(U141-AC141&gt;0, U141-AC141, 0)</f>
        <v>0.12299999999999933</v>
      </c>
      <c r="AE141" s="146">
        <v>0</v>
      </c>
      <c r="AF141" s="147"/>
      <c r="AG141" s="143">
        <f>AA141</f>
        <v>8.3219999999999992</v>
      </c>
      <c r="AH141" s="144">
        <f t="shared" si="34"/>
        <v>0.12299999999999933</v>
      </c>
      <c r="AI141" s="144">
        <v>0</v>
      </c>
      <c r="AJ141" s="144">
        <f>SUM(AG141:AI141)</f>
        <v>8.4449999999999985</v>
      </c>
      <c r="AK141" s="144">
        <f>AJ141*($AK$6/$AK$3)</f>
        <v>8.8960221386263463</v>
      </c>
      <c r="AL141" s="144">
        <f>AB141</f>
        <v>4.2000000000000003E-2</v>
      </c>
      <c r="AM141" s="144">
        <f>AK141+AL141</f>
        <v>8.9380221386263461</v>
      </c>
      <c r="AN141" s="144">
        <f>ROUND(AM141*($AK$4/$AK$5), 3)</f>
        <v>8.7349999999999994</v>
      </c>
      <c r="AO141" s="145">
        <f>ROUND(IF(AH141&gt;0, AN141*(AH141/AJ141), 0), 3)</f>
        <v>0.127</v>
      </c>
      <c r="AP141" s="148"/>
      <c r="AQ141" s="143">
        <v>0</v>
      </c>
      <c r="AR141" s="145">
        <f>AN141+AQ141</f>
        <v>8.7349999999999994</v>
      </c>
    </row>
    <row r="142" spans="1:44">
      <c r="A142" s="129" t="s">
        <v>404</v>
      </c>
      <c r="B142" s="130">
        <v>10451</v>
      </c>
      <c r="C142" s="131" t="s">
        <v>405</v>
      </c>
      <c r="D142" s="132">
        <v>298</v>
      </c>
      <c r="E142" s="149">
        <v>22.812000000000001</v>
      </c>
      <c r="F142" s="150">
        <v>0</v>
      </c>
      <c r="G142" s="150">
        <v>0</v>
      </c>
      <c r="H142" s="150">
        <v>0</v>
      </c>
      <c r="I142" s="150">
        <v>0</v>
      </c>
      <c r="J142" s="150">
        <f>SUM(E142:I142)</f>
        <v>22.812000000000001</v>
      </c>
      <c r="K142" s="150">
        <v>0</v>
      </c>
      <c r="L142" s="151">
        <f>ROUND(J142+K142, 3)</f>
        <v>22.812000000000001</v>
      </c>
      <c r="M142" s="149">
        <v>26.564</v>
      </c>
      <c r="N142" s="150">
        <v>0</v>
      </c>
      <c r="O142" s="150">
        <v>-2.9000000000000001E-2</v>
      </c>
      <c r="P142" s="150">
        <v>0</v>
      </c>
      <c r="Q142" s="150">
        <v>0</v>
      </c>
      <c r="R142" s="150">
        <f>SUM(M142:Q142)</f>
        <v>26.535</v>
      </c>
      <c r="S142" s="150">
        <v>0</v>
      </c>
      <c r="T142" s="151">
        <f>ROUND(R142+S142, 3)</f>
        <v>26.535</v>
      </c>
      <c r="U142" s="152">
        <f>ROUND(+(L142+T142)/2, 3)</f>
        <v>24.673999999999999</v>
      </c>
      <c r="V142" s="149">
        <v>26.242999999999999</v>
      </c>
      <c r="W142" s="150">
        <v>0</v>
      </c>
      <c r="X142" s="150">
        <v>4.4999999999999998E-2</v>
      </c>
      <c r="Y142" s="150">
        <v>0</v>
      </c>
      <c r="Z142" s="150">
        <v>0</v>
      </c>
      <c r="AA142" s="150">
        <f>SUM(V142:Z142)</f>
        <v>26.288</v>
      </c>
      <c r="AB142" s="150">
        <v>0.17499999999999999</v>
      </c>
      <c r="AC142" s="151">
        <f>ROUND(AA142+AB142, 3)</f>
        <v>26.463000000000001</v>
      </c>
      <c r="AD142" s="152">
        <f>IF(U142-AC142&gt;0, U142-AC142, 0)</f>
        <v>0</v>
      </c>
      <c r="AE142" s="152">
        <v>0</v>
      </c>
      <c r="AF142" s="137"/>
      <c r="AG142" s="149">
        <f>AA142</f>
        <v>26.288</v>
      </c>
      <c r="AH142" s="150">
        <f t="shared" si="34"/>
        <v>0</v>
      </c>
      <c r="AI142" s="150">
        <v>0</v>
      </c>
      <c r="AJ142" s="150">
        <f>SUM(AG142:AI142)</f>
        <v>26.288</v>
      </c>
      <c r="AK142" s="150">
        <f>AJ142*($AK$6/$AK$3)</f>
        <v>27.691963289545228</v>
      </c>
      <c r="AL142" s="150">
        <f>AB142</f>
        <v>0.17499999999999999</v>
      </c>
      <c r="AM142" s="150">
        <f>AK142+AL142</f>
        <v>27.866963289545229</v>
      </c>
      <c r="AN142" s="150">
        <f>ROUND(AM142*($AK$4/$AK$5), 3)</f>
        <v>27.233000000000001</v>
      </c>
      <c r="AO142" s="151">
        <f>ROUND(IF(AH142&gt;0, AN142*(AH142/AJ142), 0), 3)</f>
        <v>0</v>
      </c>
      <c r="AP142" s="138"/>
      <c r="AQ142" s="149">
        <v>0</v>
      </c>
      <c r="AR142" s="151">
        <f>AN142+AQ142</f>
        <v>27.233000000000001</v>
      </c>
    </row>
    <row r="143" spans="1:44">
      <c r="A143" s="139" t="s">
        <v>406</v>
      </c>
      <c r="B143" s="140">
        <v>10502</v>
      </c>
      <c r="C143" s="141" t="s">
        <v>57</v>
      </c>
      <c r="D143" s="142">
        <v>10502</v>
      </c>
      <c r="E143" s="143">
        <v>3.9369999999999998</v>
      </c>
      <c r="F143" s="144">
        <v>0</v>
      </c>
      <c r="G143" s="144">
        <v>-1.2999999999999999E-2</v>
      </c>
      <c r="H143" s="144">
        <v>0</v>
      </c>
      <c r="I143" s="144">
        <v>0</v>
      </c>
      <c r="J143" s="144">
        <f>SUM(E143:I143)</f>
        <v>3.9239999999999999</v>
      </c>
      <c r="K143" s="144">
        <v>0</v>
      </c>
      <c r="L143" s="145">
        <f>ROUND(J143+K143, 3)</f>
        <v>3.9239999999999999</v>
      </c>
      <c r="M143" s="143">
        <v>4.0750000000000002</v>
      </c>
      <c r="N143" s="144">
        <v>0</v>
      </c>
      <c r="O143" s="144">
        <v>-1.0999999999999999E-2</v>
      </c>
      <c r="P143" s="144">
        <v>0</v>
      </c>
      <c r="Q143" s="144">
        <v>0</v>
      </c>
      <c r="R143" s="144">
        <f>SUM(M143:Q143)</f>
        <v>4.0640000000000001</v>
      </c>
      <c r="S143" s="144">
        <v>0</v>
      </c>
      <c r="T143" s="145">
        <f>ROUND(R143+S143, 3)</f>
        <v>4.0640000000000001</v>
      </c>
      <c r="U143" s="146">
        <f>ROUND(+(L143+T143)/2, 3)</f>
        <v>3.9940000000000002</v>
      </c>
      <c r="V143" s="143">
        <v>4.07</v>
      </c>
      <c r="W143" s="144">
        <v>0</v>
      </c>
      <c r="X143" s="144">
        <v>0</v>
      </c>
      <c r="Y143" s="144">
        <v>0</v>
      </c>
      <c r="Z143" s="144">
        <v>0</v>
      </c>
      <c r="AA143" s="144">
        <f>SUM(V143:Z143)</f>
        <v>4.07</v>
      </c>
      <c r="AB143" s="144">
        <v>5.3999999999999999E-2</v>
      </c>
      <c r="AC143" s="145">
        <f>ROUND(AA143+AB143, 3)</f>
        <v>4.1239999999999997</v>
      </c>
      <c r="AD143" s="146">
        <f>IF(U143-AC143&gt;0, U143-AC143, 0)</f>
        <v>0</v>
      </c>
      <c r="AE143" s="146">
        <v>0</v>
      </c>
      <c r="AF143" s="147"/>
      <c r="AG143" s="143">
        <f>AA143</f>
        <v>4.07</v>
      </c>
      <c r="AH143" s="144">
        <f t="shared" si="34"/>
        <v>0</v>
      </c>
      <c r="AI143" s="144">
        <v>0</v>
      </c>
      <c r="AJ143" s="144">
        <f>SUM(AG143:AI143)</f>
        <v>4.07</v>
      </c>
      <c r="AK143" s="144">
        <f>AJ143*($AK$6/$AK$3)</f>
        <v>4.2873665013865292</v>
      </c>
      <c r="AL143" s="144">
        <f>AB143</f>
        <v>5.3999999999999999E-2</v>
      </c>
      <c r="AM143" s="144">
        <f>AK143+AL143</f>
        <v>4.3413665013865295</v>
      </c>
      <c r="AN143" s="144">
        <f>ROUND(AM143*($AK$4/$AK$5), 3)</f>
        <v>4.2430000000000003</v>
      </c>
      <c r="AO143" s="145">
        <f>ROUND(IF(AH143&gt;0, AN143*(AH143/AJ143), 0), 3)</f>
        <v>0</v>
      </c>
      <c r="AP143" s="148"/>
      <c r="AQ143" s="143">
        <v>0.52499999999999947</v>
      </c>
      <c r="AR143" s="145">
        <f>AN143+AQ143</f>
        <v>4.7679999999999998</v>
      </c>
    </row>
    <row r="144" spans="1:44" ht="13.5" thickBot="1">
      <c r="A144" s="129" t="s">
        <v>407</v>
      </c>
      <c r="B144" s="153">
        <v>10190</v>
      </c>
      <c r="C144" s="154" t="s">
        <v>408</v>
      </c>
      <c r="D144" s="155">
        <v>238</v>
      </c>
      <c r="E144" s="156">
        <v>5.2720000000000002</v>
      </c>
      <c r="F144" s="157">
        <v>0</v>
      </c>
      <c r="G144" s="157">
        <v>-0.24</v>
      </c>
      <c r="H144" s="157">
        <v>0</v>
      </c>
      <c r="I144" s="157">
        <v>0</v>
      </c>
      <c r="J144" s="157">
        <f>SUM(E144:I144)</f>
        <v>5.032</v>
      </c>
      <c r="K144" s="157">
        <v>8.0000000000000002E-3</v>
      </c>
      <c r="L144" s="158">
        <f>ROUND(J144+K144, 3)</f>
        <v>5.04</v>
      </c>
      <c r="M144" s="156">
        <v>5.4160000000000004</v>
      </c>
      <c r="N144" s="157">
        <v>0</v>
      </c>
      <c r="O144" s="157">
        <v>-0.436</v>
      </c>
      <c r="P144" s="157">
        <v>0</v>
      </c>
      <c r="Q144" s="157">
        <v>0</v>
      </c>
      <c r="R144" s="157">
        <f>SUM(M144:Q144)</f>
        <v>4.9800000000000004</v>
      </c>
      <c r="S144" s="157">
        <v>1.4E-2</v>
      </c>
      <c r="T144" s="158">
        <f>ROUND(R144+S144, 3)</f>
        <v>4.9939999999999998</v>
      </c>
      <c r="U144" s="159">
        <f>ROUND(+(L144+T144)/2, 3)</f>
        <v>5.0170000000000003</v>
      </c>
      <c r="V144" s="156">
        <v>5.1159999999999997</v>
      </c>
      <c r="W144" s="157">
        <v>0</v>
      </c>
      <c r="X144" s="157">
        <v>-4.1000000000000002E-2</v>
      </c>
      <c r="Y144" s="157">
        <v>0</v>
      </c>
      <c r="Z144" s="157">
        <v>0</v>
      </c>
      <c r="AA144" s="157">
        <f>SUM(V144:Z144)</f>
        <v>5.0749999999999993</v>
      </c>
      <c r="AB144" s="157">
        <v>4.5999999999999999E-2</v>
      </c>
      <c r="AC144" s="158">
        <f>ROUND(AA144+AB144, 3)</f>
        <v>5.1210000000000004</v>
      </c>
      <c r="AD144" s="159">
        <f>IF(U144-AC144&gt;0, U144-AC144, 0)</f>
        <v>0</v>
      </c>
      <c r="AE144" s="159">
        <v>0</v>
      </c>
      <c r="AF144" s="152"/>
      <c r="AG144" s="156">
        <f>AA144</f>
        <v>5.0749999999999993</v>
      </c>
      <c r="AH144" s="157">
        <f t="shared" si="34"/>
        <v>0</v>
      </c>
      <c r="AI144" s="157">
        <v>0</v>
      </c>
      <c r="AJ144" s="157">
        <f>SUM(AG144:AI144)</f>
        <v>5.0749999999999993</v>
      </c>
      <c r="AK144" s="157">
        <f>AJ144*($AK$6/$AK$3)</f>
        <v>5.3460405391981896</v>
      </c>
      <c r="AL144" s="157">
        <f>AB144</f>
        <v>4.5999999999999999E-2</v>
      </c>
      <c r="AM144" s="157">
        <f>AK144+AL144</f>
        <v>5.3920405391981898</v>
      </c>
      <c r="AN144" s="157">
        <f>ROUND(AM144*($AK$4/$AK$5), 3)</f>
        <v>5.2690000000000001</v>
      </c>
      <c r="AO144" s="158">
        <f>ROUND(IF(AH144&gt;0, AN144*(AH144/AJ144), 0), 3)</f>
        <v>0</v>
      </c>
      <c r="AP144" s="160"/>
      <c r="AQ144" s="156">
        <v>0</v>
      </c>
      <c r="AR144" s="158">
        <f>AN144+AQ144</f>
        <v>5.2690000000000001</v>
      </c>
    </row>
    <row r="145" spans="1:44" ht="13.5" thickTop="1">
      <c r="A145" s="139" t="s">
        <v>409</v>
      </c>
      <c r="B145" s="161"/>
      <c r="C145" s="162"/>
      <c r="D145" s="163"/>
      <c r="E145" s="164"/>
      <c r="F145" s="165"/>
      <c r="G145" s="165"/>
      <c r="H145" s="165"/>
      <c r="I145" s="165"/>
      <c r="J145" s="161"/>
      <c r="K145" s="165"/>
      <c r="L145" s="166"/>
      <c r="M145" s="164"/>
      <c r="N145" s="165"/>
      <c r="O145" s="165"/>
      <c r="P145" s="165"/>
      <c r="Q145" s="165"/>
      <c r="R145" s="161"/>
      <c r="S145" s="165"/>
      <c r="T145" s="166"/>
      <c r="U145" s="167"/>
      <c r="V145" s="164"/>
      <c r="W145" s="165"/>
      <c r="X145" s="165"/>
      <c r="Y145" s="165"/>
      <c r="Z145" s="165"/>
      <c r="AA145" s="161"/>
      <c r="AB145" s="165"/>
      <c r="AC145" s="166"/>
      <c r="AD145" s="167"/>
      <c r="AE145" s="168"/>
      <c r="AF145" s="169"/>
      <c r="AG145" s="170"/>
      <c r="AH145" s="161"/>
      <c r="AI145" s="165"/>
      <c r="AJ145" s="161"/>
      <c r="AK145" s="161"/>
      <c r="AL145" s="161"/>
      <c r="AM145" s="161"/>
      <c r="AN145" s="165"/>
      <c r="AO145" s="166"/>
      <c r="AP145" s="169"/>
      <c r="AQ145" s="164"/>
      <c r="AR145" s="171"/>
    </row>
    <row r="146" spans="1:44">
      <c r="A146" s="129" t="s">
        <v>410</v>
      </c>
      <c r="B146" s="130"/>
      <c r="C146" s="130" t="s">
        <v>411</v>
      </c>
      <c r="D146" s="132"/>
      <c r="E146" s="149"/>
      <c r="F146" s="150"/>
      <c r="G146" s="150"/>
      <c r="H146" s="150"/>
      <c r="I146" s="150"/>
      <c r="J146" s="130"/>
      <c r="K146" s="150"/>
      <c r="L146" s="172"/>
      <c r="M146" s="149"/>
      <c r="N146" s="150"/>
      <c r="O146" s="150"/>
      <c r="P146" s="150"/>
      <c r="Q146" s="150"/>
      <c r="R146" s="130"/>
      <c r="S146" s="150"/>
      <c r="T146" s="172"/>
      <c r="U146" s="173"/>
      <c r="V146" s="149"/>
      <c r="W146" s="150"/>
      <c r="X146" s="150"/>
      <c r="Y146" s="150"/>
      <c r="Z146" s="150"/>
      <c r="AA146" s="130"/>
      <c r="AB146" s="150"/>
      <c r="AC146" s="172"/>
      <c r="AD146" s="173"/>
      <c r="AE146" s="152"/>
      <c r="AF146" s="138"/>
      <c r="AG146" s="174"/>
      <c r="AH146" s="130"/>
      <c r="AI146" s="150"/>
      <c r="AJ146" s="130"/>
      <c r="AK146" s="130"/>
      <c r="AL146" s="130"/>
      <c r="AM146" s="130"/>
      <c r="AN146" s="150"/>
      <c r="AO146" s="172"/>
      <c r="AP146" s="138"/>
      <c r="AQ146" s="149"/>
      <c r="AR146" s="151"/>
    </row>
    <row r="147" spans="1:44" ht="13.5" thickBot="1">
      <c r="A147" s="139" t="s">
        <v>412</v>
      </c>
      <c r="B147" s="140">
        <v>12026</v>
      </c>
      <c r="C147" s="141" t="s">
        <v>413</v>
      </c>
      <c r="D147" s="142">
        <v>12026</v>
      </c>
      <c r="E147" s="175">
        <v>0</v>
      </c>
      <c r="F147" s="176">
        <v>0</v>
      </c>
      <c r="G147" s="176">
        <v>0</v>
      </c>
      <c r="H147" s="176">
        <v>0</v>
      </c>
      <c r="I147" s="176">
        <v>0</v>
      </c>
      <c r="J147" s="176">
        <v>0</v>
      </c>
      <c r="K147" s="176">
        <v>0</v>
      </c>
      <c r="L147" s="177">
        <v>0</v>
      </c>
      <c r="M147" s="175">
        <v>0</v>
      </c>
      <c r="N147" s="176">
        <v>0</v>
      </c>
      <c r="O147" s="176">
        <v>0</v>
      </c>
      <c r="P147" s="176">
        <v>0</v>
      </c>
      <c r="Q147" s="176">
        <v>0</v>
      </c>
      <c r="R147" s="176">
        <v>0</v>
      </c>
      <c r="S147" s="176">
        <v>0</v>
      </c>
      <c r="T147" s="177">
        <v>0</v>
      </c>
      <c r="U147" s="178">
        <v>0</v>
      </c>
      <c r="V147" s="175">
        <v>0</v>
      </c>
      <c r="W147" s="176">
        <v>0</v>
      </c>
      <c r="X147" s="176">
        <v>0</v>
      </c>
      <c r="Y147" s="176">
        <v>0</v>
      </c>
      <c r="Z147" s="176">
        <v>0</v>
      </c>
      <c r="AA147" s="176">
        <v>0</v>
      </c>
      <c r="AB147" s="176">
        <v>0</v>
      </c>
      <c r="AC147" s="177">
        <v>0</v>
      </c>
      <c r="AD147" s="178">
        <v>0</v>
      </c>
      <c r="AE147" s="178">
        <v>0</v>
      </c>
      <c r="AF147" s="147"/>
      <c r="AG147" s="175">
        <v>0</v>
      </c>
      <c r="AH147" s="176">
        <v>0</v>
      </c>
      <c r="AI147" s="176">
        <v>0</v>
      </c>
      <c r="AJ147" s="176">
        <v>0</v>
      </c>
      <c r="AK147" s="176">
        <v>0</v>
      </c>
      <c r="AL147" s="176">
        <v>0</v>
      </c>
      <c r="AM147" s="176">
        <v>0</v>
      </c>
      <c r="AN147" s="176">
        <f>ROUND(AM147*($AK$4/$AK$5), 3)</f>
        <v>0</v>
      </c>
      <c r="AO147" s="177">
        <v>0</v>
      </c>
      <c r="AP147" s="148"/>
      <c r="AQ147" s="175">
        <v>40.771999999999998</v>
      </c>
      <c r="AR147" s="177">
        <f>AQ147</f>
        <v>40.771999999999998</v>
      </c>
    </row>
    <row r="148" spans="1:44" ht="13.5" thickTop="1">
      <c r="A148" s="103" t="s">
        <v>414</v>
      </c>
      <c r="B148" s="179"/>
      <c r="C148" s="180"/>
      <c r="D148" s="180"/>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2"/>
      <c r="AL148" s="181"/>
      <c r="AM148" s="181"/>
      <c r="AN148" s="181"/>
      <c r="AO148" s="181"/>
      <c r="AP148" s="181"/>
      <c r="AQ148" s="182"/>
      <c r="AR148" s="182"/>
    </row>
    <row r="149" spans="1:44">
      <c r="A149" s="103" t="s">
        <v>415</v>
      </c>
      <c r="B149" s="179"/>
      <c r="C149" s="180" t="s">
        <v>53</v>
      </c>
      <c r="D149" s="180"/>
      <c r="E149" s="183">
        <f t="shared" ref="E149:AE149" si="35">SUM(E12:E147)</f>
        <v>8147.3249999999971</v>
      </c>
      <c r="F149" s="183">
        <f t="shared" si="35"/>
        <v>-134.90600000000001</v>
      </c>
      <c r="G149" s="183">
        <f t="shared" si="35"/>
        <v>-44.056000000000004</v>
      </c>
      <c r="H149" s="183">
        <f t="shared" si="35"/>
        <v>-295.697</v>
      </c>
      <c r="I149" s="183">
        <f t="shared" si="35"/>
        <v>284.18700000000001</v>
      </c>
      <c r="J149" s="183">
        <f t="shared" si="35"/>
        <v>7956.8529999999982</v>
      </c>
      <c r="K149" s="183">
        <f t="shared" si="35"/>
        <v>17.946999999999996</v>
      </c>
      <c r="L149" s="184">
        <f t="shared" si="35"/>
        <v>7974.7999999999993</v>
      </c>
      <c r="M149" s="184">
        <f t="shared" si="35"/>
        <v>8377.6709999999985</v>
      </c>
      <c r="N149" s="184">
        <f t="shared" si="35"/>
        <v>-135.67599999999999</v>
      </c>
      <c r="O149" s="184">
        <f t="shared" si="35"/>
        <v>-132.39400000000006</v>
      </c>
      <c r="P149" s="184">
        <f t="shared" si="35"/>
        <v>-297.52800000000002</v>
      </c>
      <c r="Q149" s="184">
        <f t="shared" si="35"/>
        <v>286.87299999999999</v>
      </c>
      <c r="R149" s="184">
        <f t="shared" si="35"/>
        <v>8098.9460000000008</v>
      </c>
      <c r="S149" s="184">
        <f t="shared" si="35"/>
        <v>53.853999999999992</v>
      </c>
      <c r="T149" s="184">
        <f t="shared" si="35"/>
        <v>8152.8000000000011</v>
      </c>
      <c r="U149" s="184">
        <f t="shared" si="35"/>
        <v>8063.833999999998</v>
      </c>
      <c r="V149" s="184">
        <f t="shared" si="35"/>
        <v>8057.9830000000011</v>
      </c>
      <c r="W149" s="184">
        <f t="shared" si="35"/>
        <v>-124.767</v>
      </c>
      <c r="X149" s="184">
        <f t="shared" si="35"/>
        <v>20.260999999999999</v>
      </c>
      <c r="Y149" s="184">
        <f t="shared" si="35"/>
        <v>-273.04854031952397</v>
      </c>
      <c r="Z149" s="184">
        <f t="shared" si="35"/>
        <v>289.1450000000001</v>
      </c>
      <c r="AA149" s="184">
        <f t="shared" si="35"/>
        <v>7969.5734596804768</v>
      </c>
      <c r="AB149" s="184">
        <f t="shared" si="35"/>
        <v>166.113</v>
      </c>
      <c r="AC149" s="184">
        <f t="shared" si="35"/>
        <v>8135.685999999997</v>
      </c>
      <c r="AD149" s="184">
        <f t="shared" si="35"/>
        <v>72.945000000000149</v>
      </c>
      <c r="AE149" s="184">
        <f t="shared" si="35"/>
        <v>26.172000000000001</v>
      </c>
      <c r="AF149" s="184"/>
      <c r="AG149" s="184">
        <f t="shared" ref="AG149:AO149" si="36">SUM(AG12:AG147)</f>
        <v>7969.5734596804768</v>
      </c>
      <c r="AH149" s="184">
        <f t="shared" si="36"/>
        <v>76.72700000000016</v>
      </c>
      <c r="AI149" s="184">
        <f t="shared" si="36"/>
        <v>-1273.0400000000002</v>
      </c>
      <c r="AJ149" s="184">
        <f t="shared" si="36"/>
        <v>6773.2604596804767</v>
      </c>
      <c r="AK149" s="184">
        <f t="shared" si="36"/>
        <v>7134.9999999999955</v>
      </c>
      <c r="AL149" s="184">
        <f t="shared" si="36"/>
        <v>166.113</v>
      </c>
      <c r="AM149" s="184">
        <f t="shared" si="36"/>
        <v>7301.1129999999966</v>
      </c>
      <c r="AN149" s="184">
        <f t="shared" si="36"/>
        <v>7134.9990000000016</v>
      </c>
      <c r="AO149" s="184">
        <f t="shared" si="36"/>
        <v>80.61699999999999</v>
      </c>
      <c r="AP149" s="184"/>
      <c r="AQ149" s="184">
        <f>SUM(AQ12:AQ147)</f>
        <v>45.994</v>
      </c>
      <c r="AR149" s="184">
        <f>SUM(AR12:AR147)</f>
        <v>7180.9930000000004</v>
      </c>
    </row>
    <row r="150" spans="1:44">
      <c r="A150" s="103" t="s">
        <v>416</v>
      </c>
      <c r="B150" s="179"/>
      <c r="C150" s="180" t="s">
        <v>417</v>
      </c>
      <c r="D150" s="180"/>
      <c r="E150" s="179">
        <f>COUNTIF(E12:E147,"&gt;0")</f>
        <v>133</v>
      </c>
      <c r="F150" s="179"/>
      <c r="G150" s="179"/>
      <c r="H150" s="179"/>
      <c r="I150" s="179"/>
      <c r="J150" s="179"/>
      <c r="K150" s="179"/>
      <c r="L150" s="182"/>
      <c r="M150" s="182">
        <f>COUNTIF(M12:M147,"&gt;0")</f>
        <v>133</v>
      </c>
      <c r="N150" s="182"/>
      <c r="O150" s="182"/>
      <c r="P150" s="182"/>
      <c r="Q150" s="182"/>
      <c r="R150" s="182"/>
      <c r="S150" s="182"/>
      <c r="T150" s="182"/>
      <c r="U150" s="182">
        <f>COUNTIF(U12:U147,"&gt;0")</f>
        <v>133</v>
      </c>
      <c r="V150" s="182"/>
      <c r="W150" s="182"/>
      <c r="X150" s="182"/>
      <c r="Y150" s="182"/>
      <c r="Z150" s="182"/>
      <c r="AA150" s="184"/>
      <c r="AB150" s="182"/>
      <c r="AC150" s="182">
        <f>COUNTIF(AC12:AC147,"&gt;0")</f>
        <v>133</v>
      </c>
      <c r="AD150" s="182">
        <f>COUNTIF(AD12:AD147,"&gt;0")</f>
        <v>40</v>
      </c>
      <c r="AE150" s="182">
        <f>COUNTIF(AE12:AE147,"&gt;0")</f>
        <v>3</v>
      </c>
      <c r="AF150" s="182"/>
      <c r="AG150" s="182"/>
      <c r="AH150" s="182"/>
      <c r="AI150" s="182"/>
      <c r="AJ150" s="182">
        <f>COUNTIF(AJ12:AJ147,"&gt;0")</f>
        <v>133</v>
      </c>
      <c r="AK150" s="182">
        <f>COUNTIF(AK12:AK147,"&gt;0")</f>
        <v>133</v>
      </c>
      <c r="AL150" s="182"/>
      <c r="AM150" s="182">
        <f>COUNTIF(AM12:AM147,"&gt;0")</f>
        <v>133</v>
      </c>
      <c r="AN150" s="182">
        <f>COUNTIF(AN12:AN147,"&gt;0")</f>
        <v>133</v>
      </c>
      <c r="AO150" s="182">
        <f>COUNTIF(AO12:AO147,"&gt;0")</f>
        <v>41</v>
      </c>
      <c r="AP150" s="182"/>
      <c r="AQ150" s="182">
        <f>COUNTIF(AQ12:AQ147,"&gt;0")</f>
        <v>4</v>
      </c>
      <c r="AR150" s="182">
        <f>COUNTIF(AR12:AR147,"&gt;0")</f>
        <v>134</v>
      </c>
    </row>
    <row r="151" spans="1:44">
      <c r="A151" s="103" t="s">
        <v>418</v>
      </c>
      <c r="E151" s="185"/>
      <c r="F151" s="185"/>
      <c r="G151" s="185"/>
      <c r="H151" s="185"/>
      <c r="I151" s="185"/>
      <c r="J151" s="185"/>
      <c r="K151" s="185"/>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row>
    <row r="152" spans="1:44">
      <c r="A152" s="103" t="s">
        <v>419</v>
      </c>
      <c r="B152" s="76" t="s">
        <v>105</v>
      </c>
      <c r="AA152" s="99"/>
    </row>
    <row r="153" spans="1:44">
      <c r="A153" s="103" t="s">
        <v>420</v>
      </c>
      <c r="B153" s="333" t="s">
        <v>421</v>
      </c>
      <c r="C153" s="333"/>
      <c r="D153" s="333"/>
      <c r="E153" s="333"/>
      <c r="F153" s="333"/>
      <c r="G153" s="333"/>
      <c r="H153" s="333"/>
      <c r="I153" s="333"/>
      <c r="J153" s="333"/>
      <c r="K153" s="333"/>
      <c r="L153" s="333"/>
      <c r="M153" s="333"/>
      <c r="N153" s="333"/>
      <c r="O153" s="333"/>
      <c r="P153" s="333"/>
      <c r="Q153" s="333"/>
      <c r="AK153" s="89"/>
    </row>
    <row r="154" spans="1:44">
      <c r="A154" s="103" t="s">
        <v>422</v>
      </c>
      <c r="B154" s="333" t="s">
        <v>423</v>
      </c>
      <c r="C154" s="333"/>
      <c r="D154" s="333"/>
      <c r="E154" s="333"/>
      <c r="F154" s="333"/>
      <c r="G154" s="333"/>
      <c r="H154" s="333"/>
      <c r="I154" s="333"/>
      <c r="J154" s="333"/>
      <c r="K154" s="333"/>
      <c r="L154" s="333"/>
      <c r="M154" s="333"/>
      <c r="N154" s="333"/>
      <c r="O154" s="333"/>
      <c r="P154" s="333"/>
      <c r="Q154" s="333"/>
      <c r="AK154" s="89"/>
    </row>
    <row r="155" spans="1:44">
      <c r="A155" s="103" t="s">
        <v>424</v>
      </c>
      <c r="B155" s="334" t="s">
        <v>425</v>
      </c>
      <c r="C155" s="333"/>
      <c r="D155" s="333"/>
      <c r="E155" s="333"/>
      <c r="F155" s="333"/>
      <c r="G155" s="333"/>
      <c r="H155" s="333"/>
      <c r="I155" s="333"/>
      <c r="J155" s="333"/>
      <c r="K155" s="333"/>
      <c r="L155" s="333"/>
      <c r="M155" s="333"/>
      <c r="N155" s="333"/>
      <c r="O155" s="333"/>
      <c r="P155" s="333"/>
      <c r="Q155" s="333"/>
      <c r="AK155" s="89"/>
    </row>
    <row r="156" spans="1:44" ht="27" customHeight="1">
      <c r="A156" s="103" t="s">
        <v>426</v>
      </c>
      <c r="B156" s="334" t="s">
        <v>427</v>
      </c>
      <c r="C156" s="334"/>
      <c r="D156" s="334"/>
      <c r="E156" s="334"/>
      <c r="F156" s="334"/>
      <c r="G156" s="334"/>
      <c r="H156" s="334"/>
      <c r="I156" s="334"/>
      <c r="J156" s="334"/>
      <c r="K156" s="334"/>
      <c r="L156" s="334"/>
      <c r="M156" s="334"/>
      <c r="N156" s="334"/>
      <c r="O156" s="334"/>
      <c r="P156" s="334"/>
      <c r="Q156" s="334"/>
      <c r="AK156" s="89"/>
    </row>
    <row r="157" spans="1:44">
      <c r="AK157" s="89"/>
    </row>
    <row r="158" spans="1:44">
      <c r="B158" s="186"/>
      <c r="C158" s="187"/>
      <c r="D158" s="187"/>
      <c r="E158" s="187"/>
      <c r="F158" s="187"/>
      <c r="G158" s="187"/>
      <c r="AK158" s="89"/>
    </row>
    <row r="161" spans="1:44" s="189" customFormat="1">
      <c r="A161" s="188"/>
      <c r="E161" s="189">
        <v>4</v>
      </c>
      <c r="F161" s="189">
        <f t="shared" ref="F161:AR161" si="37">E161+1</f>
        <v>5</v>
      </c>
      <c r="G161" s="189">
        <f t="shared" si="37"/>
        <v>6</v>
      </c>
      <c r="H161" s="189">
        <f t="shared" si="37"/>
        <v>7</v>
      </c>
      <c r="I161" s="189">
        <f t="shared" si="37"/>
        <v>8</v>
      </c>
      <c r="J161" s="189">
        <f t="shared" si="37"/>
        <v>9</v>
      </c>
      <c r="K161" s="189">
        <f t="shared" si="37"/>
        <v>10</v>
      </c>
      <c r="L161" s="188">
        <f t="shared" si="37"/>
        <v>11</v>
      </c>
      <c r="M161" s="188">
        <f t="shared" si="37"/>
        <v>12</v>
      </c>
      <c r="N161" s="188">
        <f t="shared" si="37"/>
        <v>13</v>
      </c>
      <c r="O161" s="188">
        <f t="shared" si="37"/>
        <v>14</v>
      </c>
      <c r="P161" s="188">
        <f t="shared" si="37"/>
        <v>15</v>
      </c>
      <c r="Q161" s="188">
        <f t="shared" si="37"/>
        <v>16</v>
      </c>
      <c r="R161" s="188">
        <f t="shared" si="37"/>
        <v>17</v>
      </c>
      <c r="S161" s="188">
        <f t="shared" si="37"/>
        <v>18</v>
      </c>
      <c r="T161" s="188">
        <f t="shared" si="37"/>
        <v>19</v>
      </c>
      <c r="U161" s="188">
        <f t="shared" si="37"/>
        <v>20</v>
      </c>
      <c r="V161" s="188">
        <f t="shared" si="37"/>
        <v>21</v>
      </c>
      <c r="W161" s="188">
        <f t="shared" si="37"/>
        <v>22</v>
      </c>
      <c r="X161" s="188">
        <f t="shared" si="37"/>
        <v>23</v>
      </c>
      <c r="Y161" s="188">
        <f t="shared" si="37"/>
        <v>24</v>
      </c>
      <c r="Z161" s="188">
        <f t="shared" si="37"/>
        <v>25</v>
      </c>
      <c r="AA161" s="188">
        <f t="shared" si="37"/>
        <v>26</v>
      </c>
      <c r="AB161" s="188">
        <f t="shared" si="37"/>
        <v>27</v>
      </c>
      <c r="AC161" s="188">
        <f t="shared" si="37"/>
        <v>28</v>
      </c>
      <c r="AD161" s="188">
        <f t="shared" si="37"/>
        <v>29</v>
      </c>
      <c r="AE161" s="188">
        <f t="shared" si="37"/>
        <v>30</v>
      </c>
      <c r="AF161" s="188">
        <f t="shared" si="37"/>
        <v>31</v>
      </c>
      <c r="AG161" s="188">
        <f t="shared" si="37"/>
        <v>32</v>
      </c>
      <c r="AH161" s="188">
        <f t="shared" si="37"/>
        <v>33</v>
      </c>
      <c r="AI161" s="188">
        <f t="shared" si="37"/>
        <v>34</v>
      </c>
      <c r="AJ161" s="188">
        <f t="shared" si="37"/>
        <v>35</v>
      </c>
      <c r="AK161" s="188">
        <f t="shared" si="37"/>
        <v>36</v>
      </c>
      <c r="AL161" s="188">
        <f t="shared" si="37"/>
        <v>37</v>
      </c>
      <c r="AM161" s="188">
        <f t="shared" si="37"/>
        <v>38</v>
      </c>
      <c r="AN161" s="188">
        <f t="shared" si="37"/>
        <v>39</v>
      </c>
      <c r="AO161" s="188">
        <f t="shared" si="37"/>
        <v>40</v>
      </c>
      <c r="AP161" s="188">
        <f t="shared" si="37"/>
        <v>41</v>
      </c>
      <c r="AQ161" s="188">
        <f t="shared" si="37"/>
        <v>42</v>
      </c>
      <c r="AR161" s="188">
        <f t="shared" si="37"/>
        <v>43</v>
      </c>
    </row>
  </sheetData>
  <mergeCells count="11">
    <mergeCell ref="AG1:AR1"/>
    <mergeCell ref="E9:L9"/>
    <mergeCell ref="M9:T9"/>
    <mergeCell ref="V9:AC9"/>
    <mergeCell ref="AG9:AO9"/>
    <mergeCell ref="AQ9:AR9"/>
    <mergeCell ref="B153:Q153"/>
    <mergeCell ref="B154:Q154"/>
    <mergeCell ref="B155:Q155"/>
    <mergeCell ref="B156:Q156"/>
    <mergeCell ref="M1:R1"/>
  </mergeCells>
  <printOptions gridLines="1"/>
  <pageMargins left="0.25" right="0.25" top="0.5" bottom="0.5" header="0.5" footer="0.25"/>
  <pageSetup paperSize="5" scale="43" fitToWidth="2" fitToHeight="2" orientation="landscape" r:id="rId1"/>
  <headerFooter alignWithMargins="0">
    <oddFooter>&amp;CProposed Final Contract High Water Marks (CHWMs)&amp;RPublished April 14, 2011</oddFooter>
  </headerFooter>
  <colBreaks count="1" manualBreakCount="1">
    <brk id="21"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5"/>
  <cols>
    <col min="1" max="16384" width="9.140625" style="307"/>
  </cols>
  <sheetData>
    <row r="1" spans="1:4">
      <c r="A1" s="306" t="s">
        <v>494</v>
      </c>
    </row>
    <row r="3" spans="1:4">
      <c r="A3" s="307" t="s">
        <v>495</v>
      </c>
    </row>
    <row r="6" spans="1:4">
      <c r="A6" s="307" t="s">
        <v>492</v>
      </c>
      <c r="D6" s="308" t="s">
        <v>493</v>
      </c>
    </row>
  </sheetData>
  <hyperlinks>
    <hyperlink ref="D6"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CA20EBE7027A40B28A23406B9AAE23" ma:contentTypeVersion="0" ma:contentTypeDescription="Create a new document." ma:contentTypeScope="" ma:versionID="8be74f450a57c6d81af7be0a712ad7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DDB1C-ADAC-4123-BEDE-75E465D89B70}">
  <ds:schemaRefs>
    <ds:schemaRef ds:uri="http://schemas.microsoft.com/office/2006/metadata/longProperties"/>
  </ds:schemaRefs>
</ds:datastoreItem>
</file>

<file path=customXml/itemProps2.xml><?xml version="1.0" encoding="utf-8"?>
<ds:datastoreItem xmlns:ds="http://schemas.openxmlformats.org/officeDocument/2006/customXml" ds:itemID="{B9070B68-AD37-4D9A-B0E5-E14702882599}">
  <ds:schemaRefs>
    <ds:schemaRef ds:uri="http://schemas.microsoft.com/sharepoint/v3/contenttype/forms"/>
  </ds:schemaRefs>
</ds:datastoreItem>
</file>

<file path=customXml/itemProps3.xml><?xml version="1.0" encoding="utf-8"?>
<ds:datastoreItem xmlns:ds="http://schemas.openxmlformats.org/officeDocument/2006/customXml" ds:itemID="{AD2CF6DF-33C2-4B22-B169-0464DC56B65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2068ADB-06DA-4117-BFB6-48A639411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Retained Provisional CHWM Calcs</vt:lpstr>
      <vt:lpstr>CDQ Adj for Retained Prov</vt:lpstr>
      <vt:lpstr>TOCA Updates</vt:lpstr>
      <vt:lpstr>SSL Updates</vt:lpstr>
      <vt:lpstr>CHWM_published</vt:lpstr>
      <vt:lpstr>Changes</vt:lpstr>
      <vt:lpstr>'Retained Provisional CHWM Calcs'!customerlist</vt:lpstr>
      <vt:lpstr>list</vt:lpstr>
      <vt:lpstr>CHWM_published!Print_Area</vt:lpstr>
      <vt:lpstr>CHWM_published!Print_Titles</vt:lpstr>
      <vt:lpstr>'TOCA Updates'!Print_Titles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Retained Provisional Load Calculator</dc:title>
  <dc:creator>Emily Traetow</dc:creator>
  <cp:lastModifiedBy>Rhoads,Abigail M (BPA) - DKE-7</cp:lastModifiedBy>
  <cp:lastPrinted>2013-09-10T01:13:31Z</cp:lastPrinted>
  <dcterms:created xsi:type="dcterms:W3CDTF">2011-02-23T18:15:04Z</dcterms:created>
  <dcterms:modified xsi:type="dcterms:W3CDTF">2022-03-01T16:48:19Z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Doc0">
    <vt:lpwstr/>
  </property>
  <property fmtid="{D5CDD505-2E9C-101B-9397-08002B2CF9AE}" pid="3" name="ContentType">
    <vt:lpwstr>Document</vt:lpwstr>
  </property>
  <property fmtid="{D5CDD505-2E9C-101B-9397-08002B2CF9AE}" pid="4" name="Date of Temp Release">
    <vt:lpwstr/>
  </property>
  <property fmtid="{D5CDD505-2E9C-101B-9397-08002B2CF9AE}" pid="5" name="Subject/Issue">
    <vt:lpwstr/>
  </property>
  <property fmtid="{D5CDD505-2E9C-101B-9397-08002B2CF9AE}" pid="6" name="Topic">
    <vt:lpwstr>Second Purchase Period Elections - September 30, 2011</vt:lpwstr>
  </property>
  <property fmtid="{D5CDD505-2E9C-101B-9397-08002B2CF9AE}" pid="7" name="Type of Doc">
    <vt:lpwstr/>
  </property>
  <property fmtid="{D5CDD505-2E9C-101B-9397-08002B2CF9AE}" pid="8" name="Version Date">
    <vt:lpwstr>2012-07-31</vt:lpwstr>
  </property>
  <property fmtid="{D5CDD505-2E9C-101B-9397-08002B2CF9AE}" pid="9" name="Revision">
    <vt:lpwstr/>
  </property>
  <property fmtid="{D5CDD505-2E9C-101B-9397-08002B2CF9AE}" pid="10" name="Meeting Date">
    <vt:lpwstr/>
  </property>
  <property fmtid="{D5CDD505-2E9C-101B-9397-08002B2CF9AE}" pid="11" name="ContentTypeId">
    <vt:lpwstr>0x01010012CA20EBE7027A40B28A23406B9AAE23</vt:lpwstr>
  </property>
  <property fmtid="{D5CDD505-2E9C-101B-9397-08002B2CF9AE}" pid="12" name="Order">
    <vt:r8>8600</vt:r8>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ies>
</file>