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HQ5F01.bud.bpa.gov\ESB\Planning\EE Central\IS2.0\Templates Final\RT Calculator\"/>
    </mc:Choice>
  </mc:AlternateContent>
  <bookViews>
    <workbookView xWindow="0" yWindow="0" windowWidth="16200" windowHeight="24900" tabRatio="811" activeTab="1"/>
  </bookViews>
  <sheets>
    <sheet name="Instructions" sheetId="21" r:id="rId1"/>
    <sheet name="Summary" sheetId="1" r:id="rId2"/>
    <sheet name="Material R" sheetId="9" state="hidden" r:id="rId3"/>
    <sheet name="RC1" sheetId="10" r:id="rId4"/>
    <sheet name="RC2" sheetId="41" r:id="rId5"/>
    <sheet name="RC3" sheetId="40" r:id="rId6"/>
    <sheet name="RC4" sheetId="39" r:id="rId7"/>
    <sheet name="RC5" sheetId="38" r:id="rId8"/>
    <sheet name="RC6" sheetId="37" r:id="rId9"/>
    <sheet name="TF1" sheetId="11" r:id="rId10"/>
    <sheet name="TF2" sheetId="26" r:id="rId11"/>
    <sheet name="TF3" sheetId="27" r:id="rId12"/>
    <sheet name="TF4" sheetId="28" r:id="rId13"/>
    <sheet name="TF5" sheetId="36" r:id="rId14"/>
    <sheet name="TF6" sheetId="35" r:id="rId15"/>
    <sheet name="Revisions" sheetId="46" state="hidden" r:id="rId16"/>
    <sheet name="BPA Approval Status" sheetId="29" r:id="rId17"/>
    <sheet name="Lists" sheetId="2" state="hidden" r:id="rId18"/>
    <sheet name="Upload Build" sheetId="45" state="hidden" r:id="rId19"/>
    <sheet name="ProjectUpload" sheetId="43" state="hidden" r:id="rId20"/>
    <sheet name="MeasureUpload" sheetId="44" state="hidden" r:id="rId21"/>
    <sheet name="Distribution Factor" sheetId="8" state="hidden" r:id="rId22"/>
  </sheets>
  <definedNames>
    <definedName name="ACSR">'Material R'!$G$3:$G$36</definedName>
    <definedName name="ACSRT">'Material R'!$G$4:$H$36</definedName>
    <definedName name="Aluminum">'Material R'!$D$3:$D$36</definedName>
    <definedName name="AluminumT">'Material R'!$D$4:$E$36</definedName>
    <definedName name="Copper">'Material R'!$A$3:$A$28</definedName>
    <definedName name="CopperT">'Material R'!$A$4:$B$28</definedName>
    <definedName name="SheetState" hidden="1">"'-1:-1:2:2:2:2:2:-1:-1:2:2"</definedName>
  </definedNames>
  <calcPr calcId="162913"/>
</workbook>
</file>

<file path=xl/calcChain.xml><?xml version="1.0" encoding="utf-8"?>
<calcChain xmlns="http://schemas.openxmlformats.org/spreadsheetml/2006/main">
  <c r="K40" i="1" l="1"/>
  <c r="AH14" i="2"/>
  <c r="AH15" i="2"/>
  <c r="AH16" i="2"/>
  <c r="AH17" i="2"/>
  <c r="AH18" i="2"/>
  <c r="AH13" i="2"/>
  <c r="AK11" i="1" l="1"/>
  <c r="M19" i="1" l="1"/>
  <c r="Q18" i="1" s="1"/>
  <c r="R21" i="10" l="1"/>
  <c r="R19" i="10"/>
  <c r="S40" i="35" l="1"/>
  <c r="S40" i="36"/>
  <c r="S40" i="28"/>
  <c r="S40" i="27"/>
  <c r="S40" i="26"/>
  <c r="S40" i="11"/>
  <c r="R24" i="10" l="1"/>
  <c r="W17" i="10" l="1"/>
  <c r="AM2" i="43" l="1"/>
  <c r="X2" i="43"/>
  <c r="W2" i="43"/>
  <c r="T2" i="43"/>
  <c r="AY2" i="43"/>
  <c r="W41" i="10"/>
  <c r="W41" i="40"/>
  <c r="R41" i="40"/>
  <c r="R41" i="37"/>
  <c r="R41" i="41"/>
  <c r="W41" i="37"/>
  <c r="W41" i="41"/>
  <c r="R41" i="10"/>
  <c r="R41" i="39"/>
  <c r="W41" i="39"/>
  <c r="W41" i="38"/>
  <c r="R41" i="38"/>
  <c r="R19" i="37" l="1"/>
  <c r="AB13" i="2" l="1"/>
  <c r="AB14" i="2"/>
  <c r="AB15" i="2"/>
  <c r="AB16" i="2"/>
  <c r="AB17" i="2"/>
  <c r="AB18" i="2"/>
  <c r="N50" i="37" l="1"/>
  <c r="N50" i="38"/>
  <c r="N50" i="39"/>
  <c r="N50" i="40"/>
  <c r="N50" i="41"/>
  <c r="N47" i="38"/>
  <c r="N47" i="39"/>
  <c r="N47" i="40"/>
  <c r="N47" i="37"/>
  <c r="J50" i="37"/>
  <c r="J50" i="38"/>
  <c r="J50" i="39"/>
  <c r="J50" i="40"/>
  <c r="AB33" i="1" l="1"/>
  <c r="N47" i="41"/>
  <c r="J50" i="41"/>
  <c r="N47" i="10"/>
  <c r="J50" i="10"/>
  <c r="AK10" i="1" l="1"/>
  <c r="S23" i="1" l="1"/>
  <c r="S21" i="1"/>
  <c r="U23" i="1" l="1"/>
  <c r="U21" i="1"/>
  <c r="J12" i="36" l="1"/>
  <c r="J12" i="28"/>
  <c r="X23" i="35"/>
  <c r="X23" i="36"/>
  <c r="X23" i="28"/>
  <c r="X19" i="35"/>
  <c r="X18" i="35"/>
  <c r="X19" i="36"/>
  <c r="X18" i="36"/>
  <c r="X19" i="28"/>
  <c r="X18" i="28"/>
  <c r="BA2" i="43" l="1"/>
  <c r="AZ2" i="43"/>
  <c r="AI7" i="1"/>
  <c r="BT2" i="43" l="1"/>
  <c r="AD53" i="10" l="1"/>
  <c r="B31" i="10" l="1"/>
  <c r="B31" i="41"/>
  <c r="B31" i="40"/>
  <c r="B31" i="39"/>
  <c r="B31" i="38"/>
  <c r="B31" i="37"/>
  <c r="N49" i="37"/>
  <c r="N48" i="37"/>
  <c r="N49" i="38"/>
  <c r="N48" i="38"/>
  <c r="N49" i="39"/>
  <c r="N48" i="39"/>
  <c r="N49" i="40"/>
  <c r="N48" i="40"/>
  <c r="N49" i="10"/>
  <c r="N48" i="10"/>
  <c r="N50" i="10" s="1"/>
  <c r="N49" i="41"/>
  <c r="N48" i="41"/>
  <c r="AF53" i="10" l="1"/>
  <c r="Z2" i="43"/>
  <c r="AL2" i="43" l="1"/>
  <c r="AG2" i="43" l="1"/>
  <c r="AJ2" i="43"/>
  <c r="AI2" i="43"/>
  <c r="AH2" i="43"/>
  <c r="AF2" i="43"/>
  <c r="AA2" i="43"/>
  <c r="P2" i="43"/>
  <c r="N2" i="43"/>
  <c r="I2" i="43"/>
  <c r="H2" i="43"/>
  <c r="C2" i="45" l="1"/>
  <c r="E2" i="43"/>
  <c r="AK2" i="43" s="1"/>
  <c r="A2" i="43" s="1"/>
  <c r="AB2" i="43" s="1"/>
  <c r="H2" i="45" l="1"/>
  <c r="J2" i="45"/>
  <c r="C2" i="43"/>
  <c r="AD2" i="43" s="1"/>
  <c r="B2" i="43"/>
  <c r="AC2" i="43" s="1"/>
  <c r="D2" i="43"/>
  <c r="AE2" i="43" s="1"/>
  <c r="B13" i="37" l="1"/>
  <c r="B13" i="38"/>
  <c r="B13" i="39"/>
  <c r="B13" i="40"/>
  <c r="B13" i="41"/>
  <c r="B13" i="10"/>
  <c r="B47" i="1"/>
  <c r="B48" i="1" l="1"/>
  <c r="AB31" i="1"/>
  <c r="AB30" i="1"/>
  <c r="AB29" i="1"/>
  <c r="AB28" i="1"/>
  <c r="AB27" i="1"/>
  <c r="AB26" i="1"/>
  <c r="AB37" i="1" l="1"/>
  <c r="AB36" i="1"/>
  <c r="AB35" i="1"/>
  <c r="AB34" i="1"/>
  <c r="AB32" i="1"/>
  <c r="AF13" i="2"/>
  <c r="AF14" i="2"/>
  <c r="AF15" i="2"/>
  <c r="AF16" i="2"/>
  <c r="AF17" i="2"/>
  <c r="AF18" i="2"/>
  <c r="E37" i="1" l="1"/>
  <c r="E36" i="1"/>
  <c r="E35" i="1"/>
  <c r="E34" i="1"/>
  <c r="E33" i="1"/>
  <c r="E32" i="1"/>
  <c r="E31" i="1"/>
  <c r="E30" i="1"/>
  <c r="E27" i="1"/>
  <c r="E28" i="1"/>
  <c r="E29" i="1"/>
  <c r="E26" i="1"/>
  <c r="X23" i="27" l="1"/>
  <c r="X19" i="27"/>
  <c r="X18" i="27"/>
  <c r="X23" i="26"/>
  <c r="X19" i="26"/>
  <c r="X18" i="26"/>
  <c r="S31" i="11" l="1"/>
  <c r="X23" i="11"/>
  <c r="X19" i="11"/>
  <c r="X18" i="11"/>
  <c r="AF53" i="37" l="1"/>
  <c r="AD53" i="37"/>
  <c r="AF53" i="38"/>
  <c r="AD53" i="38"/>
  <c r="AF53" i="39"/>
  <c r="AD53" i="39"/>
  <c r="AF53" i="40"/>
  <c r="AD53" i="40"/>
  <c r="AF53" i="41"/>
  <c r="AD53" i="41"/>
  <c r="AH53" i="41" l="1"/>
  <c r="R24" i="41"/>
  <c r="W23" i="41"/>
  <c r="W24" i="41" s="1"/>
  <c r="R21" i="41"/>
  <c r="W21" i="41" s="1"/>
  <c r="W20" i="41"/>
  <c r="R19" i="41"/>
  <c r="W18" i="41"/>
  <c r="W17" i="41"/>
  <c r="J10" i="41"/>
  <c r="AH53" i="40"/>
  <c r="R24" i="40"/>
  <c r="W23" i="40"/>
  <c r="W24" i="40" s="1"/>
  <c r="R21" i="40"/>
  <c r="W21" i="40" s="1"/>
  <c r="W20" i="40"/>
  <c r="R19" i="40"/>
  <c r="W18" i="40"/>
  <c r="W17" i="40"/>
  <c r="J10" i="40"/>
  <c r="AH53" i="39"/>
  <c r="R24" i="39"/>
  <c r="W23" i="39"/>
  <c r="W24" i="39" s="1"/>
  <c r="R21" i="39"/>
  <c r="W21" i="39" s="1"/>
  <c r="W20" i="39"/>
  <c r="R19" i="39"/>
  <c r="W18" i="39"/>
  <c r="W17" i="39"/>
  <c r="J10" i="39"/>
  <c r="AH53" i="38"/>
  <c r="R24" i="38"/>
  <c r="W23" i="38"/>
  <c r="W24" i="38" s="1"/>
  <c r="R21" i="38"/>
  <c r="W21" i="38" s="1"/>
  <c r="W20" i="38"/>
  <c r="R19" i="38"/>
  <c r="W18" i="38"/>
  <c r="W17" i="38"/>
  <c r="J10" i="38"/>
  <c r="AH53" i="37"/>
  <c r="R24" i="37"/>
  <c r="W23" i="37"/>
  <c r="W24" i="37" s="1"/>
  <c r="R21" i="37"/>
  <c r="W21" i="37" s="1"/>
  <c r="W20" i="37"/>
  <c r="W18" i="37"/>
  <c r="W17" i="37"/>
  <c r="J10" i="37"/>
  <c r="W34" i="37"/>
  <c r="W34" i="39"/>
  <c r="W38" i="39"/>
  <c r="W40" i="39"/>
  <c r="R38" i="37"/>
  <c r="R34" i="38"/>
  <c r="W34" i="38"/>
  <c r="W40" i="37"/>
  <c r="W38" i="41"/>
  <c r="W34" i="41"/>
  <c r="R38" i="39"/>
  <c r="W40" i="40"/>
  <c r="R34" i="39"/>
  <c r="W38" i="38"/>
  <c r="R38" i="40"/>
  <c r="W38" i="37"/>
  <c r="R40" i="37"/>
  <c r="W38" i="40"/>
  <c r="R38" i="38"/>
  <c r="R40" i="39"/>
  <c r="W40" i="41"/>
  <c r="R40" i="40"/>
  <c r="R38" i="41"/>
  <c r="R40" i="38"/>
  <c r="R34" i="40"/>
  <c r="R34" i="37"/>
  <c r="W34" i="40"/>
  <c r="R34" i="41"/>
  <c r="W40" i="38"/>
  <c r="R40" i="41"/>
  <c r="R47" i="37" l="1"/>
  <c r="R50" i="37" s="1"/>
  <c r="J53" i="37"/>
  <c r="N53" i="37"/>
  <c r="R47" i="38"/>
  <c r="R50" i="38" s="1"/>
  <c r="J53" i="38"/>
  <c r="N53" i="38"/>
  <c r="J53" i="39"/>
  <c r="N53" i="39"/>
  <c r="R47" i="40"/>
  <c r="R50" i="40" s="1"/>
  <c r="J53" i="40"/>
  <c r="N53" i="40"/>
  <c r="R47" i="41"/>
  <c r="R50" i="41" s="1"/>
  <c r="J53" i="41"/>
  <c r="N53" i="41"/>
  <c r="W19" i="41"/>
  <c r="Q25" i="41"/>
  <c r="R25" i="41" s="1"/>
  <c r="J51" i="41" s="1"/>
  <c r="R48" i="41"/>
  <c r="R49" i="41"/>
  <c r="R48" i="40"/>
  <c r="W19" i="40"/>
  <c r="Q25" i="40"/>
  <c r="R25" i="40" s="1"/>
  <c r="J51" i="40" s="1"/>
  <c r="R49" i="40"/>
  <c r="R49" i="39"/>
  <c r="R47" i="39"/>
  <c r="R50" i="39" s="1"/>
  <c r="Q25" i="39"/>
  <c r="R25" i="39" s="1"/>
  <c r="J51" i="39" s="1"/>
  <c r="R48" i="39"/>
  <c r="W19" i="39"/>
  <c r="W19" i="38"/>
  <c r="Q25" i="38"/>
  <c r="R25" i="38" s="1"/>
  <c r="J51" i="38" s="1"/>
  <c r="R48" i="38"/>
  <c r="R49" i="38"/>
  <c r="Q25" i="37"/>
  <c r="R25" i="37" s="1"/>
  <c r="W19" i="37"/>
  <c r="R48" i="37"/>
  <c r="R49" i="37"/>
  <c r="X31" i="36"/>
  <c r="S31" i="36"/>
  <c r="X30" i="36"/>
  <c r="S30" i="36"/>
  <c r="X20" i="36"/>
  <c r="X22" i="36" s="1"/>
  <c r="S20" i="36"/>
  <c r="S22" i="36" s="1"/>
  <c r="H11" i="36"/>
  <c r="AA17" i="2" s="1"/>
  <c r="X31" i="35"/>
  <c r="S31" i="35"/>
  <c r="X30" i="35"/>
  <c r="S30" i="35"/>
  <c r="X20" i="35"/>
  <c r="X22" i="35" s="1"/>
  <c r="S20" i="35"/>
  <c r="S22" i="35" s="1"/>
  <c r="J12" i="35"/>
  <c r="H11" i="35"/>
  <c r="AA18" i="2" s="1"/>
  <c r="R40" i="10"/>
  <c r="S32" i="35" l="1"/>
  <c r="S33" i="35" s="1"/>
  <c r="S35" i="35" s="1"/>
  <c r="S32" i="36"/>
  <c r="S33" i="36" s="1"/>
  <c r="R53" i="40"/>
  <c r="R53" i="39"/>
  <c r="R53" i="41"/>
  <c r="R53" i="37"/>
  <c r="R53" i="38"/>
  <c r="W49" i="41"/>
  <c r="W48" i="41"/>
  <c r="W47" i="41"/>
  <c r="W50" i="41" s="1"/>
  <c r="R51" i="41"/>
  <c r="V25" i="41"/>
  <c r="W25" i="41" s="1"/>
  <c r="N51" i="41" s="1"/>
  <c r="W49" i="40"/>
  <c r="W48" i="40"/>
  <c r="W47" i="40"/>
  <c r="W50" i="40" s="1"/>
  <c r="R51" i="40"/>
  <c r="V25" i="40"/>
  <c r="W25" i="40" s="1"/>
  <c r="N51" i="40" s="1"/>
  <c r="R51" i="39"/>
  <c r="W48" i="39"/>
  <c r="W47" i="39"/>
  <c r="W50" i="39" s="1"/>
  <c r="W49" i="39"/>
  <c r="V25" i="39"/>
  <c r="W25" i="39" s="1"/>
  <c r="N51" i="39" s="1"/>
  <c r="R51" i="38"/>
  <c r="W49" i="38"/>
  <c r="W48" i="38"/>
  <c r="W47" i="38"/>
  <c r="W50" i="38" s="1"/>
  <c r="V25" i="38"/>
  <c r="W25" i="38" s="1"/>
  <c r="N51" i="38" s="1"/>
  <c r="W49" i="37"/>
  <c r="W48" i="37"/>
  <c r="W47" i="37"/>
  <c r="W50" i="37" s="1"/>
  <c r="V25" i="37"/>
  <c r="W25" i="37" s="1"/>
  <c r="N51" i="37" s="1"/>
  <c r="X32" i="35"/>
  <c r="X33" i="35" s="1"/>
  <c r="X32" i="36"/>
  <c r="X33" i="36" s="1"/>
  <c r="S35" i="36" l="1"/>
  <c r="S36" i="35"/>
  <c r="AG18" i="2" s="1"/>
  <c r="S36" i="36"/>
  <c r="AG17" i="2" s="1"/>
  <c r="R55" i="38"/>
  <c r="R55" i="40"/>
  <c r="R55" i="41"/>
  <c r="R55" i="39"/>
  <c r="W51" i="41"/>
  <c r="W51" i="40"/>
  <c r="W55" i="40" s="1"/>
  <c r="W51" i="39"/>
  <c r="W51" i="38"/>
  <c r="P37" i="1" l="1"/>
  <c r="S37" i="35"/>
  <c r="S54" i="35" s="1"/>
  <c r="S37" i="36"/>
  <c r="S54" i="36" s="1"/>
  <c r="P36" i="1"/>
  <c r="R57" i="40"/>
  <c r="W55" i="38"/>
  <c r="R57" i="38" s="1"/>
  <c r="W55" i="39"/>
  <c r="R57" i="39" s="1"/>
  <c r="W55" i="41"/>
  <c r="R57" i="41" s="1"/>
  <c r="R58" i="39" l="1"/>
  <c r="R73" i="39" s="1"/>
  <c r="P29" i="1"/>
  <c r="R58" i="40"/>
  <c r="R73" i="40" s="1"/>
  <c r="R74" i="40" s="1"/>
  <c r="P28" i="1"/>
  <c r="R58" i="38"/>
  <c r="V30" i="1" s="1"/>
  <c r="P30" i="1"/>
  <c r="S55" i="35"/>
  <c r="S56" i="35"/>
  <c r="S55" i="36"/>
  <c r="S56" i="36"/>
  <c r="V37" i="1"/>
  <c r="AC18" i="2"/>
  <c r="V36" i="1"/>
  <c r="AC17" i="2"/>
  <c r="AD17" i="2"/>
  <c r="AD18" i="2"/>
  <c r="R58" i="41"/>
  <c r="P27" i="1"/>
  <c r="AH36" i="1"/>
  <c r="AH37" i="1"/>
  <c r="AO7" i="1"/>
  <c r="AK9" i="1"/>
  <c r="R73" i="38" l="1"/>
  <c r="R74" i="38" s="1"/>
  <c r="V29" i="1"/>
  <c r="AH28" i="1"/>
  <c r="AN28" i="1" s="1"/>
  <c r="BA28" i="1" s="1"/>
  <c r="R75" i="40"/>
  <c r="V28" i="1"/>
  <c r="R74" i="39"/>
  <c r="R75" i="39"/>
  <c r="AN37" i="1"/>
  <c r="BA37" i="1" s="1"/>
  <c r="AT37" i="1"/>
  <c r="BB37" i="1" s="1"/>
  <c r="AN36" i="1"/>
  <c r="BA36" i="1" s="1"/>
  <c r="AT36" i="1"/>
  <c r="BB36" i="1" s="1"/>
  <c r="V27" i="1"/>
  <c r="R73" i="41"/>
  <c r="R75" i="41" s="1"/>
  <c r="AE17" i="2"/>
  <c r="AE18" i="2"/>
  <c r="AH29" i="1"/>
  <c r="R47" i="10"/>
  <c r="R50" i="10" s="1"/>
  <c r="J53" i="10"/>
  <c r="N53" i="10"/>
  <c r="R49" i="10"/>
  <c r="R48" i="10"/>
  <c r="Q25" i="10"/>
  <c r="AH30" i="1" l="1"/>
  <c r="AT30" i="1" s="1"/>
  <c r="BB30" i="1" s="1"/>
  <c r="AT28" i="1"/>
  <c r="BB28" i="1" s="1"/>
  <c r="R75" i="38"/>
  <c r="R74" i="41"/>
  <c r="AN29" i="1"/>
  <c r="BA29" i="1" s="1"/>
  <c r="AT29" i="1"/>
  <c r="BB29" i="1" s="1"/>
  <c r="AH27" i="1"/>
  <c r="X31" i="28"/>
  <c r="S31" i="28"/>
  <c r="X30" i="28"/>
  <c r="S30" i="28"/>
  <c r="X20" i="28"/>
  <c r="X22" i="28" s="1"/>
  <c r="S20" i="28"/>
  <c r="S22" i="28" s="1"/>
  <c r="H11" i="28"/>
  <c r="AA16" i="2" s="1"/>
  <c r="X31" i="27"/>
  <c r="S31" i="27"/>
  <c r="X30" i="27"/>
  <c r="S30" i="27"/>
  <c r="X20" i="27"/>
  <c r="X22" i="27" s="1"/>
  <c r="S20" i="27"/>
  <c r="S22" i="27" s="1"/>
  <c r="H11" i="27"/>
  <c r="AA15" i="2" s="1"/>
  <c r="X31" i="26"/>
  <c r="S31" i="26"/>
  <c r="X30" i="26"/>
  <c r="S30" i="26"/>
  <c r="X20" i="26"/>
  <c r="X22" i="26" s="1"/>
  <c r="S20" i="26"/>
  <c r="S22" i="26" s="1"/>
  <c r="H11" i="26"/>
  <c r="AA14" i="2" s="1"/>
  <c r="AN30" i="1" l="1"/>
  <c r="BA30" i="1" s="1"/>
  <c r="AN27" i="1"/>
  <c r="BA27" i="1" s="1"/>
  <c r="AT27" i="1"/>
  <c r="BB27" i="1" s="1"/>
  <c r="J12" i="27"/>
  <c r="J12" i="26"/>
  <c r="X32" i="27"/>
  <c r="X33" i="27" s="1"/>
  <c r="S32" i="27"/>
  <c r="S33" i="27" s="1"/>
  <c r="S32" i="28"/>
  <c r="S33" i="28" s="1"/>
  <c r="X32" i="28"/>
  <c r="X33" i="28" s="1"/>
  <c r="S32" i="26"/>
  <c r="S33" i="26" s="1"/>
  <c r="X32" i="26"/>
  <c r="X33" i="26" s="1"/>
  <c r="S35" i="26" l="1"/>
  <c r="S35" i="28"/>
  <c r="S36" i="27"/>
  <c r="AG15" i="2" s="1"/>
  <c r="S35" i="27"/>
  <c r="S36" i="28"/>
  <c r="S36" i="26"/>
  <c r="AG14" i="2" l="1"/>
  <c r="P33" i="1"/>
  <c r="P35" i="1"/>
  <c r="AG16" i="2"/>
  <c r="P34" i="1"/>
  <c r="S37" i="27"/>
  <c r="S37" i="26"/>
  <c r="S54" i="26" s="1"/>
  <c r="S37" i="28"/>
  <c r="S54" i="28" s="1"/>
  <c r="S55" i="28" l="1"/>
  <c r="S56" i="28"/>
  <c r="S55" i="26"/>
  <c r="S56" i="26"/>
  <c r="AC15" i="2"/>
  <c r="S54" i="27"/>
  <c r="AC14" i="2"/>
  <c r="V33" i="1"/>
  <c r="AC16" i="2"/>
  <c r="V35" i="1"/>
  <c r="V34" i="1"/>
  <c r="S55" i="27" l="1"/>
  <c r="S56" i="27"/>
  <c r="AH33" i="1"/>
  <c r="AD16" i="2"/>
  <c r="AD15" i="2"/>
  <c r="AD14" i="2"/>
  <c r="AH35" i="1"/>
  <c r="AH34" i="1"/>
  <c r="AN35" i="1" l="1"/>
  <c r="BA35" i="1" s="1"/>
  <c r="AT35" i="1"/>
  <c r="BB35" i="1" s="1"/>
  <c r="AN34" i="1"/>
  <c r="BA34" i="1" s="1"/>
  <c r="AT34" i="1"/>
  <c r="BB34" i="1" s="1"/>
  <c r="AN33" i="1"/>
  <c r="BA33" i="1" s="1"/>
  <c r="AT33" i="1"/>
  <c r="BB33" i="1" s="1"/>
  <c r="AE14" i="2"/>
  <c r="AE15" i="2"/>
  <c r="AE16" i="2"/>
  <c r="W23" i="10" l="1"/>
  <c r="J10" i="10"/>
  <c r="W20" i="10" l="1"/>
  <c r="W18" i="10"/>
  <c r="W40" i="10"/>
  <c r="H11" i="11" l="1"/>
  <c r="J12" i="11" l="1"/>
  <c r="AA13" i="2"/>
  <c r="C4" i="45" l="1"/>
  <c r="J4" i="45" s="1"/>
  <c r="C3" i="45"/>
  <c r="J3" i="45" s="1"/>
  <c r="B4" i="44" l="1"/>
  <c r="A3" i="44"/>
  <c r="B2" i="44"/>
  <c r="V4" i="44"/>
  <c r="F4" i="44"/>
  <c r="E4" i="44" s="1"/>
  <c r="AA2" i="44"/>
  <c r="A4" i="44"/>
  <c r="D3" i="44"/>
  <c r="B3" i="44"/>
  <c r="D2" i="44"/>
  <c r="D4" i="44"/>
  <c r="C4" i="44" s="1"/>
  <c r="H4" i="45"/>
  <c r="AA4" i="44" s="1"/>
  <c r="S4" i="44" s="1"/>
  <c r="H3" i="45"/>
  <c r="AA3" i="44" s="1"/>
  <c r="X4" i="44" l="1"/>
  <c r="Y4" i="44"/>
  <c r="W4" i="44"/>
  <c r="P4" i="44"/>
  <c r="AC4" i="44"/>
  <c r="Q4" i="44"/>
  <c r="O4" i="44"/>
  <c r="AB4" i="44"/>
  <c r="Z4" i="44"/>
  <c r="K4" i="44"/>
  <c r="C3" i="44"/>
  <c r="S3" i="44"/>
  <c r="S2" i="44"/>
  <c r="A2" i="44"/>
  <c r="X31" i="11"/>
  <c r="X30" i="11"/>
  <c r="X20" i="11"/>
  <c r="X22" i="11" s="1"/>
  <c r="S30" i="11"/>
  <c r="S20" i="11"/>
  <c r="S22" i="11" s="1"/>
  <c r="W21" i="10"/>
  <c r="W19" i="10"/>
  <c r="W24" i="10"/>
  <c r="R34" i="10"/>
  <c r="W38" i="10"/>
  <c r="W34" i="10"/>
  <c r="R38" i="10"/>
  <c r="AB2" i="44" l="1"/>
  <c r="Y2" i="44"/>
  <c r="P2" i="44"/>
  <c r="K2" i="44"/>
  <c r="AC2" i="44"/>
  <c r="X2" i="44"/>
  <c r="Q2" i="44"/>
  <c r="AB3" i="44"/>
  <c r="AC3" i="44"/>
  <c r="P3" i="44"/>
  <c r="K3" i="44"/>
  <c r="Q3" i="44"/>
  <c r="X3" i="44"/>
  <c r="Y3" i="44"/>
  <c r="W49" i="10"/>
  <c r="W48" i="10"/>
  <c r="W47" i="10"/>
  <c r="W50" i="10" s="1"/>
  <c r="V25" i="10"/>
  <c r="W25" i="10" s="1"/>
  <c r="X32" i="11"/>
  <c r="X33" i="11" s="1"/>
  <c r="S32" i="11"/>
  <c r="S33" i="11" s="1"/>
  <c r="R25" i="10"/>
  <c r="J51" i="10" s="1"/>
  <c r="S36" i="11" l="1"/>
  <c r="S35" i="11"/>
  <c r="P32" i="1"/>
  <c r="S37" i="11" l="1"/>
  <c r="V32" i="1" s="1"/>
  <c r="AG13" i="2"/>
  <c r="D4" i="45" s="1"/>
  <c r="D3" i="45"/>
  <c r="F3" i="44" s="1"/>
  <c r="AC13" i="2" l="1"/>
  <c r="S54" i="11"/>
  <c r="S56" i="11" s="1"/>
  <c r="AB38" i="1"/>
  <c r="U4" i="8"/>
  <c r="U5" i="8"/>
  <c r="U6" i="8"/>
  <c r="U7" i="8"/>
  <c r="U8" i="8"/>
  <c r="U9" i="8"/>
  <c r="U10" i="8"/>
  <c r="U11" i="8"/>
  <c r="U12" i="8"/>
  <c r="U13" i="8"/>
  <c r="U14" i="8"/>
  <c r="U15" i="8"/>
  <c r="U16" i="8"/>
  <c r="U17" i="8"/>
  <c r="U18" i="8"/>
  <c r="U19" i="8"/>
  <c r="U20" i="8"/>
  <c r="U21" i="8"/>
  <c r="U22" i="8"/>
  <c r="U23" i="8"/>
  <c r="U24" i="8"/>
  <c r="U25" i="8"/>
  <c r="U26" i="8"/>
  <c r="U27" i="8"/>
  <c r="U28" i="8"/>
  <c r="U29" i="8"/>
  <c r="U30" i="8"/>
  <c r="U31" i="8"/>
  <c r="U32" i="8"/>
  <c r="U33" i="8"/>
  <c r="U34" i="8"/>
  <c r="U35" i="8"/>
  <c r="U36" i="8"/>
  <c r="U37" i="8"/>
  <c r="U38" i="8"/>
  <c r="U39" i="8"/>
  <c r="U40" i="8"/>
  <c r="U41" i="8"/>
  <c r="U42" i="8"/>
  <c r="U43" i="8"/>
  <c r="U44" i="8"/>
  <c r="U45" i="8"/>
  <c r="U46" i="8"/>
  <c r="U47" i="8"/>
  <c r="U48" i="8"/>
  <c r="U49" i="8"/>
  <c r="U50" i="8"/>
  <c r="U51" i="8"/>
  <c r="U52" i="8"/>
  <c r="U53" i="8"/>
  <c r="U3" i="8"/>
  <c r="G4" i="45" l="1"/>
  <c r="I4" i="45" s="1"/>
  <c r="G3" i="45"/>
  <c r="V3" i="44" s="1"/>
  <c r="S55" i="11"/>
  <c r="AH32" i="1"/>
  <c r="AD13" i="2"/>
  <c r="F3" i="45" s="1"/>
  <c r="BI2" i="43"/>
  <c r="BJ2" i="43"/>
  <c r="BN2" i="43" s="1"/>
  <c r="E4" i="45" l="1"/>
  <c r="T4" i="44" s="1"/>
  <c r="L4" i="44" s="1"/>
  <c r="I3" i="45"/>
  <c r="W3" i="44" s="1"/>
  <c r="E3" i="45"/>
  <c r="T3" i="44" s="1"/>
  <c r="L3" i="44" s="1"/>
  <c r="AN32" i="1"/>
  <c r="BA32" i="1" s="1"/>
  <c r="AT32" i="1"/>
  <c r="BB32" i="1" s="1"/>
  <c r="F4" i="45"/>
  <c r="AE13" i="2"/>
  <c r="AH53" i="10"/>
  <c r="R53" i="10" s="1"/>
  <c r="B49" i="1" s="1"/>
  <c r="U3" i="44" l="1"/>
  <c r="U4" i="44"/>
  <c r="O3" i="44"/>
  <c r="Z3" i="44"/>
  <c r="E3" i="44"/>
  <c r="R51" i="10"/>
  <c r="R55" i="10" s="1"/>
  <c r="N51" i="10"/>
  <c r="W51" i="10"/>
  <c r="W55" i="10" l="1"/>
  <c r="R57" i="10" s="1"/>
  <c r="R58" i="10" l="1"/>
  <c r="V26" i="1" s="1"/>
  <c r="P26" i="1"/>
  <c r="R73" i="10" l="1"/>
  <c r="R75" i="10" s="1"/>
  <c r="R74" i="10" l="1"/>
  <c r="AH26" i="1"/>
  <c r="AN26" i="1" l="1"/>
  <c r="BA26" i="1" s="1"/>
  <c r="AT26" i="1"/>
  <c r="BB26" i="1" s="1"/>
  <c r="R51" i="37"/>
  <c r="W51" i="37"/>
  <c r="W55" i="37" s="1"/>
  <c r="J51" i="37"/>
  <c r="R55" i="37" l="1"/>
  <c r="R57" i="37" l="1"/>
  <c r="R58" i="37" l="1"/>
  <c r="V31" i="1" s="1"/>
  <c r="V38" i="1" s="1"/>
  <c r="P31" i="1"/>
  <c r="C2" i="44"/>
  <c r="R73" i="37" l="1"/>
  <c r="R74" i="37" s="1"/>
  <c r="D2" i="45"/>
  <c r="F2" i="44" s="1"/>
  <c r="P38" i="1"/>
  <c r="BC2" i="43" s="1"/>
  <c r="G2" i="45"/>
  <c r="V2" i="44" s="1"/>
  <c r="AH31" i="1"/>
  <c r="E2" i="45"/>
  <c r="T2" i="44" s="1"/>
  <c r="I2" i="45"/>
  <c r="BD2" i="43"/>
  <c r="BK2" i="43"/>
  <c r="R75" i="37" l="1"/>
  <c r="AN31" i="1"/>
  <c r="BA31" i="1" s="1"/>
  <c r="AT31" i="1"/>
  <c r="L2" i="44"/>
  <c r="F2" i="45"/>
  <c r="U2" i="44" s="1"/>
  <c r="AH38" i="1"/>
  <c r="Z2" i="44"/>
  <c r="BH2" i="43"/>
  <c r="O2" i="44"/>
  <c r="W2" i="44"/>
  <c r="BO2" i="43" l="1"/>
  <c r="BP2" i="43" s="1"/>
  <c r="E2" i="44"/>
  <c r="AT38" i="1"/>
  <c r="BB38" i="1" s="1"/>
  <c r="BB31" i="1"/>
  <c r="AU2" i="43"/>
  <c r="AN38" i="1"/>
  <c r="BA38" i="1" s="1"/>
  <c r="AO2" i="43" s="1"/>
  <c r="BE2" i="43" s="1"/>
  <c r="AQ2" i="43" l="1"/>
  <c r="CA2" i="43"/>
  <c r="BG2" i="43" s="1"/>
  <c r="AV2" i="43"/>
</calcChain>
</file>

<file path=xl/sharedStrings.xml><?xml version="1.0" encoding="utf-8"?>
<sst xmlns="http://schemas.openxmlformats.org/spreadsheetml/2006/main" count="1993" uniqueCount="706">
  <si>
    <t>Utility Name</t>
  </si>
  <si>
    <t>Utility Name:</t>
  </si>
  <si>
    <t>Type of Measures to be Submitted:</t>
  </si>
  <si>
    <t>--Select--</t>
  </si>
  <si>
    <t>Type of Measure</t>
  </si>
  <si>
    <t>Re-Conductor and Transformer</t>
  </si>
  <si>
    <t>Number of Submittals</t>
  </si>
  <si>
    <t>No</t>
  </si>
  <si>
    <t>Yes</t>
  </si>
  <si>
    <t>Re-Conductor Only</t>
  </si>
  <si>
    <t>Transformer Only</t>
  </si>
  <si>
    <t>Project Name</t>
  </si>
  <si>
    <t>Data entry by</t>
  </si>
  <si>
    <t>Data entry date</t>
  </si>
  <si>
    <t>Measure Ref #</t>
  </si>
  <si>
    <t>UUDCN85002</t>
  </si>
  <si>
    <t>R</t>
  </si>
  <si>
    <t>Utility System Efficiency</t>
  </si>
  <si>
    <t>Utility Distribution System</t>
  </si>
  <si>
    <t>Conductors</t>
  </si>
  <si>
    <t>Service Conductor Replacement</t>
  </si>
  <si>
    <t>Incentive</t>
  </si>
  <si>
    <t>Existing System</t>
  </si>
  <si>
    <t>Distribution Factor</t>
  </si>
  <si>
    <t>Number of Phase conductors</t>
  </si>
  <si>
    <t>Number of Neutral conductors</t>
  </si>
  <si>
    <t>Phase conductor size</t>
  </si>
  <si>
    <t>Phase conductor material</t>
  </si>
  <si>
    <t>Neutral conductor size</t>
  </si>
  <si>
    <t>Neutral conductor material</t>
  </si>
  <si>
    <t>Proposed System</t>
  </si>
  <si>
    <t>Project Cost</t>
  </si>
  <si>
    <t>Up-Load file documenting Project Cost</t>
  </si>
  <si>
    <t>Full EEI Incentive Allowed</t>
  </si>
  <si>
    <t>No EEI Incentive</t>
  </si>
  <si>
    <t>Custom % EEI Incentive</t>
  </si>
  <si>
    <t>d</t>
  </si>
  <si>
    <t>b</t>
  </si>
  <si>
    <t>Phase Conductors</t>
  </si>
  <si>
    <t>Conductor Material</t>
  </si>
  <si>
    <t>Copper</t>
  </si>
  <si>
    <t>Aluminum</t>
  </si>
  <si>
    <t>ACSR</t>
  </si>
  <si>
    <t>UUDTR95006</t>
  </si>
  <si>
    <t>L</t>
  </si>
  <si>
    <t>Transformers</t>
  </si>
  <si>
    <t>Transformer Load Management</t>
  </si>
  <si>
    <t>UUDTR85006</t>
  </si>
  <si>
    <t>Project Intent</t>
  </si>
  <si>
    <t>Load Factor  (Avg / Peak)</t>
  </si>
  <si>
    <t>Annual Energized Hours</t>
  </si>
  <si>
    <t>Manufacturer Loss Report documentation</t>
  </si>
  <si>
    <t>Utility Contact Information</t>
  </si>
  <si>
    <t>Trnsfrmr Reason</t>
  </si>
  <si>
    <t>Replace Existing Transformer</t>
  </si>
  <si>
    <t>Aggregate Loads to a Transformer</t>
  </si>
  <si>
    <t>Downsize a Transformer</t>
  </si>
  <si>
    <t>ra 25 C @ 60 Hz</t>
  </si>
  <si>
    <t>Size of Conductor | Circular Mills or AWG</t>
  </si>
  <si>
    <t>6</t>
  </si>
  <si>
    <t>4</t>
  </si>
  <si>
    <t>3</t>
  </si>
  <si>
    <t>2</t>
  </si>
  <si>
    <t>1</t>
  </si>
  <si>
    <t>Cicular Mils or AWG Aluminum</t>
  </si>
  <si>
    <t>5</t>
  </si>
  <si>
    <t>Yes/NO</t>
  </si>
  <si>
    <t>Project Start</t>
  </si>
  <si>
    <t>4/0 AWG</t>
  </si>
  <si>
    <t>3/0 AWG</t>
  </si>
  <si>
    <t>2/0 AWG</t>
  </si>
  <si>
    <t>1/0 AWG</t>
  </si>
  <si>
    <t>1000 kCMIL</t>
  </si>
  <si>
    <t>900 kCMIL</t>
  </si>
  <si>
    <t>800 kCMIL</t>
  </si>
  <si>
    <t>750 kCMIL</t>
  </si>
  <si>
    <t>700 kCMIL</t>
  </si>
  <si>
    <t>600 kCMIL</t>
  </si>
  <si>
    <t>500 kCMIL</t>
  </si>
  <si>
    <t>450 kCMIL</t>
  </si>
  <si>
    <t>400 kCMIL</t>
  </si>
  <si>
    <t>350 kCMIL</t>
  </si>
  <si>
    <t>300 kCMIL</t>
  </si>
  <si>
    <t>250 kCMIL</t>
  </si>
  <si>
    <t>266.8 kCMIL</t>
  </si>
  <si>
    <t>336.4 kCMIL</t>
  </si>
  <si>
    <t>397.5 kCMIL</t>
  </si>
  <si>
    <t>477 kCMIL</t>
  </si>
  <si>
    <t>556.5 kCMIL</t>
  </si>
  <si>
    <t>636 kCMIL</t>
  </si>
  <si>
    <t>715.5 kCMIL</t>
  </si>
  <si>
    <t>795 kCMIL</t>
  </si>
  <si>
    <t>874.5 kCMIL</t>
  </si>
  <si>
    <t>954 kCMIL</t>
  </si>
  <si>
    <t>1033.5 kCMIL</t>
  </si>
  <si>
    <t>1113. kCMIL</t>
  </si>
  <si>
    <t>1192.5 KCMIL</t>
  </si>
  <si>
    <t>1272 kCMIL</t>
  </si>
  <si>
    <t>1351.5 kCMIL</t>
  </si>
  <si>
    <t>1431 kCMIL</t>
  </si>
  <si>
    <t>1510.5 kCMIL</t>
  </si>
  <si>
    <t>1590 kCMIL</t>
  </si>
  <si>
    <t>1351 kCMIL</t>
  </si>
  <si>
    <t>1192.5 kCMIL</t>
  </si>
  <si>
    <t>1113 kCMIL</t>
  </si>
  <si>
    <t>666.6 kCMIL</t>
  </si>
  <si>
    <t>605 kCMIL</t>
  </si>
  <si>
    <t>Shifting Loads</t>
  </si>
  <si>
    <t>Circular Mills or AWG</t>
  </si>
  <si>
    <t>Ohm per mile</t>
  </si>
  <si>
    <t>Account_Name</t>
  </si>
  <si>
    <t>Description</t>
  </si>
  <si>
    <t>BES_Number</t>
  </si>
  <si>
    <t>ALBION</t>
  </si>
  <si>
    <t>City of Albion</t>
  </si>
  <si>
    <t>ALDER</t>
  </si>
  <si>
    <t>Alder Mutual Light Company</t>
  </si>
  <si>
    <t>ASHLAND</t>
  </si>
  <si>
    <t>City of Ashland</t>
  </si>
  <si>
    <t>ASOTIN PUD</t>
  </si>
  <si>
    <t>Public Utility District No. 1 of Asotin County</t>
  </si>
  <si>
    <t>BANDON</t>
  </si>
  <si>
    <t>City of Bandon</t>
  </si>
  <si>
    <t>BANGOR</t>
  </si>
  <si>
    <t>USN Bangor</t>
  </si>
  <si>
    <t>BENTON CO. PUD #1</t>
  </si>
  <si>
    <t>Public Utility District No. 1 of Benton County</t>
  </si>
  <si>
    <t>BENTON REA</t>
  </si>
  <si>
    <t>Benton Rural Electric Association</t>
  </si>
  <si>
    <t>BIG BEND ELECTRIC COOP.</t>
  </si>
  <si>
    <t>Big Bend Electric Cooperative</t>
  </si>
  <si>
    <t>BLACHLY-LANE ELECTRIC COOP</t>
  </si>
  <si>
    <t>Blachly-Lane Electric Cooperative</t>
  </si>
  <si>
    <t>BLAINE</t>
  </si>
  <si>
    <t>City of Blaine</t>
  </si>
  <si>
    <t>BONNERS FERRY</t>
  </si>
  <si>
    <t>City of Bonners Ferry</t>
  </si>
  <si>
    <t>BREMERTON</t>
  </si>
  <si>
    <t>USN Bremerton</t>
  </si>
  <si>
    <t>BURLEY</t>
  </si>
  <si>
    <t>City of Burley</t>
  </si>
  <si>
    <t>CANBY</t>
  </si>
  <si>
    <t>Canby Utility Board</t>
  </si>
  <si>
    <t>CASCADE LOCKS</t>
  </si>
  <si>
    <t>City of Cascade Locks</t>
  </si>
  <si>
    <t>CENTRAL ELECTRIC COOP.</t>
  </si>
  <si>
    <t>Central Electric Cooperative, Inc.</t>
  </si>
  <si>
    <t>CENTRAL LINCOLN PUD</t>
  </si>
  <si>
    <t>Central Lincoln People's Utility District</t>
  </si>
  <si>
    <t>CENTRALIA</t>
  </si>
  <si>
    <t>City of Centralia</t>
  </si>
  <si>
    <t>CHELAN CO. PUD #1</t>
  </si>
  <si>
    <t>Chelan Co. PUD #1</t>
  </si>
  <si>
    <t>CHENEY</t>
  </si>
  <si>
    <t>City of Cheney</t>
  </si>
  <si>
    <t>CHEWELAH</t>
  </si>
  <si>
    <t>City of Chewelah</t>
  </si>
  <si>
    <t>CLALLAM CO. PUD #1</t>
  </si>
  <si>
    <t>Public Utility District No. 1 of Clallam County</t>
  </si>
  <si>
    <t>CLARK CO. PUD #1</t>
  </si>
  <si>
    <t>Clark Public Utilities</t>
  </si>
  <si>
    <t>CLATSKANIE PUD</t>
  </si>
  <si>
    <t>Clatskanie People's Utility District</t>
  </si>
  <si>
    <t>CLEARWATER POWER CO.</t>
  </si>
  <si>
    <t>Clearwater Power Company</t>
  </si>
  <si>
    <t>COLUMBIA BASIN COOP.</t>
  </si>
  <si>
    <t>Columbia Basin Electric Cooperative, Inc.</t>
  </si>
  <si>
    <t>COLUMBIA POWER COOP.</t>
  </si>
  <si>
    <t>Columbia Power Cooperative Association</t>
  </si>
  <si>
    <t>COLUMBIA REA</t>
  </si>
  <si>
    <t>Columbia Rural Electric Association</t>
  </si>
  <si>
    <t>COLUMBIA RIVER PUD</t>
  </si>
  <si>
    <t>Columbia River People's Utility District</t>
  </si>
  <si>
    <t>CONSOLIDATED IRRIGATION DISTRICT #19</t>
  </si>
  <si>
    <t>Consolidated Irrigation District No. 19</t>
  </si>
  <si>
    <t>CONSUMERS POWER, INC.</t>
  </si>
  <si>
    <t>Consumers Power, Inc.</t>
  </si>
  <si>
    <t>COOS-CURRY ELECTRIC COOP.</t>
  </si>
  <si>
    <t>Coos-Curry Electric Cooperative, Inc.</t>
  </si>
  <si>
    <t>COULEE DAM</t>
  </si>
  <si>
    <t>Town of Coulee Dam</t>
  </si>
  <si>
    <t>COWLITZ CO. PUD #1</t>
  </si>
  <si>
    <t>Public Utility District No. 1 of Cowlitz County</t>
  </si>
  <si>
    <t>DECLO</t>
  </si>
  <si>
    <t>City of Declo</t>
  </si>
  <si>
    <t>DOUGLAS CO. PUD #1</t>
  </si>
  <si>
    <t>DOUGLAS ELECTRIC COOP.</t>
  </si>
  <si>
    <t>Douglas Electric Cooperative, Inc.</t>
  </si>
  <si>
    <t>DRAIN</t>
  </si>
  <si>
    <t>City of Drain</t>
  </si>
  <si>
    <t>EAST END</t>
  </si>
  <si>
    <t>East End Mutual Electric Company, LTD</t>
  </si>
  <si>
    <t>EATONVILLE</t>
  </si>
  <si>
    <t>Town of Eatonville</t>
  </si>
  <si>
    <t>ELLENSBURG</t>
  </si>
  <si>
    <t>City of Ellensburg</t>
  </si>
  <si>
    <t>ELMHURST</t>
  </si>
  <si>
    <t>Elmhurst Mutual Power &amp; Light Company</t>
  </si>
  <si>
    <t>EMERALD PUD</t>
  </si>
  <si>
    <t>Emerald People's Utility District</t>
  </si>
  <si>
    <t>ENERGY NORTHWEST</t>
  </si>
  <si>
    <t>Energy Northwest</t>
  </si>
  <si>
    <t>EUGENE</t>
  </si>
  <si>
    <t>Eugene Water &amp; Electric Board</t>
  </si>
  <si>
    <t>EVERETT</t>
  </si>
  <si>
    <t>USN Everett-Jim Creek</t>
  </si>
  <si>
    <t>FAIRCHILD AIRFORCE BASE</t>
  </si>
  <si>
    <t>Fairchild Air Force Base</t>
  </si>
  <si>
    <t>FALL RIVER RURAL ELECTRIC COOP.</t>
  </si>
  <si>
    <t>Fall River Rural Electric Cooperative, Inc.</t>
  </si>
  <si>
    <t>FARMERS</t>
  </si>
  <si>
    <t>Farmers Electric Company, LTD</t>
  </si>
  <si>
    <t>FERRY CO. PUD #1</t>
  </si>
  <si>
    <t>Public Utility District No. 1 of Ferry County</t>
  </si>
  <si>
    <t>FIRCREST</t>
  </si>
  <si>
    <t>FLATHEAD ELECTRIC COOP.</t>
  </si>
  <si>
    <t>Flathead Electric Cooperative, Inc.</t>
  </si>
  <si>
    <t>FOREST GROVE</t>
  </si>
  <si>
    <t>City of Forest Grove</t>
  </si>
  <si>
    <t>FRANKLIN CO. PUD #1</t>
  </si>
  <si>
    <t>Public Utility District No. 1 of Franklin County</t>
  </si>
  <si>
    <t>GLACIER ELECTRIC COOP.</t>
  </si>
  <si>
    <t>Glacier Electric Cooperative, Inc.</t>
  </si>
  <si>
    <t>GRANT CO. PUD #2</t>
  </si>
  <si>
    <t>Public Utility District No. 2 of Grant County, Washington</t>
  </si>
  <si>
    <t>GRAYS HARBOR CO. PUD #1</t>
  </si>
  <si>
    <t>Public Utility District No. 1 of Grays Harbor County Washington</t>
  </si>
  <si>
    <t>HARNEY ELECTRIC COOP.</t>
  </si>
  <si>
    <t>Harney Electric Cooperative, Inc.</t>
  </si>
  <si>
    <t>HERMISTON ENERGY SERVICES</t>
  </si>
  <si>
    <t>City of Hermiston</t>
  </si>
  <si>
    <t>HEYBURN</t>
  </si>
  <si>
    <t>City of Heyburn</t>
  </si>
  <si>
    <t>HOOD RIVER ELECTRIC COOP.</t>
  </si>
  <si>
    <t>Hood River Electric Cooperative</t>
  </si>
  <si>
    <t>IDAHO CO. L &amp; P COOP.</t>
  </si>
  <si>
    <t>Idaho County Light &amp; Power Cooperative Association, Inc.</t>
  </si>
  <si>
    <t>IDAHO FALLS</t>
  </si>
  <si>
    <t>City of Idaho Falls</t>
  </si>
  <si>
    <t xml:space="preserve">INLAND POWER &amp; LIGHT </t>
  </si>
  <si>
    <t>Inland Power &amp; Light Company</t>
  </si>
  <si>
    <t>JEFFERSON</t>
  </si>
  <si>
    <t>Public Utility District No.1 of Jefferson County</t>
  </si>
  <si>
    <t>KITTITAS CO. PUD #1</t>
  </si>
  <si>
    <t>Public Utility District No. 1 of Kittitas County</t>
  </si>
  <si>
    <t>KLICKITAT CO. PUD #1</t>
  </si>
  <si>
    <t>Public Utility District No. 1 of Klickitat County</t>
  </si>
  <si>
    <t>KOOTENAI ELECTRIC COOP.</t>
  </si>
  <si>
    <t>Kootenai Electric Cooperative, Inc.</t>
  </si>
  <si>
    <t>KALISPEL</t>
  </si>
  <si>
    <t>Kalispel Indian Community of the Kalispel Reservation</t>
  </si>
  <si>
    <t>LAKEVIEW L &amp; P CO.</t>
  </si>
  <si>
    <t>Lakeview Light &amp; Power Company</t>
  </si>
  <si>
    <t>LANE ELECTRIC COOP.</t>
  </si>
  <si>
    <t>Lane Electric Cooperative, Inc.</t>
  </si>
  <si>
    <t>LEWIS CO. PUD #1</t>
  </si>
  <si>
    <t>Public Utility District No. 1 of Lewis County</t>
  </si>
  <si>
    <t>LINCOLN ELECTRIC COOP. MONT</t>
  </si>
  <si>
    <t>Lincoln Electric Cooperative, Inc.</t>
  </si>
  <si>
    <t>LOST RIVER ELECTRIC COOP.</t>
  </si>
  <si>
    <t>Lost River Electric Cooperative, Inc.</t>
  </si>
  <si>
    <t>LOWER VALLEY ENERGY</t>
  </si>
  <si>
    <t>Lower Valley Energy, Inc.</t>
  </si>
  <si>
    <t>MASON CO. PUD #1</t>
  </si>
  <si>
    <t>Public Utility District No. 1 of Mason County</t>
  </si>
  <si>
    <t>MASON CO. PUD #3</t>
  </si>
  <si>
    <t>Public Utility District No. 3 of Mason County</t>
  </si>
  <si>
    <t>MCCLEARY</t>
  </si>
  <si>
    <t>City of McCleary</t>
  </si>
  <si>
    <t>MCMINNVILLE</t>
  </si>
  <si>
    <t>The City of McMinnville</t>
  </si>
  <si>
    <t>MIDSTATE ELECTRIC COOP.</t>
  </si>
  <si>
    <t>Midstate Electric Cooperative, Inc.</t>
  </si>
  <si>
    <t>MILTON</t>
  </si>
  <si>
    <t>City of Milton</t>
  </si>
  <si>
    <t>MILTON-FREEWATER</t>
  </si>
  <si>
    <t>City of Milton-Freewater</t>
  </si>
  <si>
    <t>MINIDOKA</t>
  </si>
  <si>
    <t>City of Minidoka</t>
  </si>
  <si>
    <t>MISSION VALLEY POWER</t>
  </si>
  <si>
    <t>Mission Valley Power</t>
  </si>
  <si>
    <t>MISSOULA ELECTRIC COOP.</t>
  </si>
  <si>
    <t>Missoula Electric Cooperative, Inc.</t>
  </si>
  <si>
    <t>MODERN ELECTRIC WATER</t>
  </si>
  <si>
    <t>Modern Electric Water Company</t>
  </si>
  <si>
    <t>MONMOUTH</t>
  </si>
  <si>
    <t>City of Monmouth</t>
  </si>
  <si>
    <t>NESPELEM VALLEY ELECTRIC</t>
  </si>
  <si>
    <t>Nespelem Valley Electric Cooperative, Inc.</t>
  </si>
  <si>
    <t>NORTHERN LIGHTS, INC.</t>
  </si>
  <si>
    <t>Northern Lights, Inc.</t>
  </si>
  <si>
    <t>NORTHERN WASCO PUD</t>
  </si>
  <si>
    <t>Northern Wasco County People's Utility District</t>
  </si>
  <si>
    <t>OHOP MUTUAL</t>
  </si>
  <si>
    <t>Ohop Mutual Light Company</t>
  </si>
  <si>
    <t>OKANOGAN CO. ELECTRIC COOP.</t>
  </si>
  <si>
    <t>Okanogan County Electric Cooperative, Inc.</t>
  </si>
  <si>
    <t>OKANOGAN CO. PUD #1</t>
  </si>
  <si>
    <t>Okanogan County Public Utility District No. 1</t>
  </si>
  <si>
    <t>ORCAS POWER &amp; LIGHT COOP.</t>
  </si>
  <si>
    <t>Orcas Power &amp; Light Cooperative</t>
  </si>
  <si>
    <t>OREGON TRAIL ELECTRIC COOP.</t>
  </si>
  <si>
    <t>Oregon Trail Electric Consumers Cooperative, Inc.</t>
  </si>
  <si>
    <t>PACIFIC CO. PUD #2</t>
  </si>
  <si>
    <t>Public Utility District No. 2 of Pacific County</t>
  </si>
  <si>
    <t>PARKLAND P &amp; L</t>
  </si>
  <si>
    <t>Parkland Light &amp; Water Company</t>
  </si>
  <si>
    <t>PEND OREILLE CO. PUD #1</t>
  </si>
  <si>
    <t>Pend Oreille County PUD No. 1</t>
  </si>
  <si>
    <t>PENINSULA POWER &amp; LIGHT INC.</t>
  </si>
  <si>
    <t>Peninsula Light Company</t>
  </si>
  <si>
    <t>PLUMMER</t>
  </si>
  <si>
    <t>City of Plummer</t>
  </si>
  <si>
    <t>PNGC</t>
  </si>
  <si>
    <t>Pacific Northwest Generating Cooperative</t>
  </si>
  <si>
    <t>PORT ANGELES</t>
  </si>
  <si>
    <t>City of Port Angeles</t>
  </si>
  <si>
    <t>PORT OF SEATTLE</t>
  </si>
  <si>
    <t>Port of Seattle - Seattle-Tacoma International Airport</t>
  </si>
  <si>
    <t>RAFT RIVER ELECTRIC COOP.</t>
  </si>
  <si>
    <t>Raft River Rural Electric Cooperative, Inc.</t>
  </si>
  <si>
    <t>RAVALLI ELECTRIC COOP.</t>
  </si>
  <si>
    <t>Ravalli County Electric Cooperative, Inc.</t>
  </si>
  <si>
    <t>RICHLAND</t>
  </si>
  <si>
    <t>City of Richland, Washington</t>
  </si>
  <si>
    <t>RIVERSIDE</t>
  </si>
  <si>
    <t>Riverside Electric Company, LTD</t>
  </si>
  <si>
    <t>RUPERT</t>
  </si>
  <si>
    <t>City of Rupert</t>
  </si>
  <si>
    <t>SALEM ELECTRIC</t>
  </si>
  <si>
    <t>Salem Electric</t>
  </si>
  <si>
    <t>SALMON RIVER ELECTRIC COOP.</t>
  </si>
  <si>
    <t>Salmon River Electric Cooperative, Inc.</t>
  </si>
  <si>
    <t>SEATTLE</t>
  </si>
  <si>
    <t>City of Seattle, City Light Dept</t>
  </si>
  <si>
    <t>SKAMANIA CO. PUD #1</t>
  </si>
  <si>
    <t>Public Utility District #1 of Skamania County</t>
  </si>
  <si>
    <t>SNOHOMISH CO. PUD #1</t>
  </si>
  <si>
    <t>Public Utility District No. 1 Of Snohomish County</t>
  </si>
  <si>
    <t>SODA SPRINGS</t>
  </si>
  <si>
    <t>City of Soda Springs</t>
  </si>
  <si>
    <t>SOUTH SIDE ELECTRIC</t>
  </si>
  <si>
    <t>South Side Electric, Inc.</t>
  </si>
  <si>
    <t>SPRINGFIELD</t>
  </si>
  <si>
    <t>Springfield Utility Board</t>
  </si>
  <si>
    <t>STEILACOOM</t>
  </si>
  <si>
    <t>Town of Steilacoom</t>
  </si>
  <si>
    <t>SUMAS</t>
  </si>
  <si>
    <t>City of Sumas</t>
  </si>
  <si>
    <t>SURPRISE VALLEY ELECTRIC CORP.</t>
  </si>
  <si>
    <t>Surprise Valley Electrification Corporation</t>
  </si>
  <si>
    <t>TACOMA POWER</t>
  </si>
  <si>
    <t>Tacoma Power</t>
  </si>
  <si>
    <t>TANNER ELECTRIC</t>
  </si>
  <si>
    <t>Tanner Electric Cooperative</t>
  </si>
  <si>
    <t>TILLAMOOK PUD</t>
  </si>
  <si>
    <t>Tillamook People's Utility District</t>
  </si>
  <si>
    <t>TROY</t>
  </si>
  <si>
    <t>City of Troy</t>
  </si>
  <si>
    <t>UMATILLA ELECTRIC COOP.</t>
  </si>
  <si>
    <t>Umatilla Electric Cooperative</t>
  </si>
  <si>
    <t>UMPQUA INDIAN UTILITY COOP</t>
  </si>
  <si>
    <t>Umpqua Indian Utility Cooperative</t>
  </si>
  <si>
    <t>UNITED ELECTRIC COOPERATIVE, INC.</t>
  </si>
  <si>
    <t>United Electric Co-op, Inc.</t>
  </si>
  <si>
    <t>US BIA WAPATO</t>
  </si>
  <si>
    <t>US BIA - Wapato</t>
  </si>
  <si>
    <t>US DOE NATIONAL TECHNOLOGY LAB</t>
  </si>
  <si>
    <t>US DOE Natl Energy Technology Lab</t>
  </si>
  <si>
    <t>US DOE RICHLAND</t>
  </si>
  <si>
    <t>US Department of Energy - Richland Operations Office</t>
  </si>
  <si>
    <t>VERA WATER &amp; POWER</t>
  </si>
  <si>
    <t>Vera Water &amp; Power</t>
  </si>
  <si>
    <t>VIGILANTE ELECTRIC COOP.</t>
  </si>
  <si>
    <t>Vigilante Electric Cooperative, Inc.</t>
  </si>
  <si>
    <t>WAHKIAKUM CO. PUD #1</t>
  </si>
  <si>
    <t>Public Utility District No. 1 of Wahkiakum County</t>
  </si>
  <si>
    <t>WASCO ELECTRIC COOP.</t>
  </si>
  <si>
    <t>Wasco Electric Cooperative, Inc.</t>
  </si>
  <si>
    <t>WEISER</t>
  </si>
  <si>
    <t>City of Weiser</t>
  </si>
  <si>
    <t>WELLS RURAL ELECTRIC</t>
  </si>
  <si>
    <t>Wells Rural Electric Company</t>
  </si>
  <si>
    <t>WEST OREGON ELECTRIC COOP.</t>
  </si>
  <si>
    <t>West Oregon Electric Cooperative, Inc.</t>
  </si>
  <si>
    <t>WHATCOM</t>
  </si>
  <si>
    <t>Public Utility District No 1 of Whatcom County</t>
  </si>
  <si>
    <t>YAKAMA POWER</t>
  </si>
  <si>
    <t>Yakama Power</t>
  </si>
  <si>
    <t>How many re-conductor measures are you submitting?</t>
  </si>
  <si>
    <t>Measure</t>
  </si>
  <si>
    <t>Legend</t>
  </si>
  <si>
    <t>To be filled in by the user</t>
  </si>
  <si>
    <t>Automatically calculated</t>
  </si>
  <si>
    <t>Total</t>
  </si>
  <si>
    <t>What % EEI?</t>
  </si>
  <si>
    <t>What % Self Funded?</t>
  </si>
  <si>
    <t>Manual - Existing</t>
  </si>
  <si>
    <t>Manual - Proposed</t>
  </si>
  <si>
    <t>Reference Number</t>
  </si>
  <si>
    <t xml:space="preserve">Resource Opportunity Type </t>
  </si>
  <si>
    <t>Sector</t>
  </si>
  <si>
    <t>End Use</t>
  </si>
  <si>
    <t>Category</t>
  </si>
  <si>
    <t>Technology/Activity/Practice</t>
  </si>
  <si>
    <t>Default Load Shape</t>
  </si>
  <si>
    <t>Default Measure Life</t>
  </si>
  <si>
    <t>Project Cost Cap</t>
  </si>
  <si>
    <t>SysLoad</t>
  </si>
  <si>
    <t>Conductors - Service Conductor Replacement</t>
  </si>
  <si>
    <t>Total Incentive Amount</t>
  </si>
  <si>
    <t>EEI Incentive Amount</t>
  </si>
  <si>
    <t>Self Funded Incentive Amount</t>
  </si>
  <si>
    <t>Load Shape indexed</t>
  </si>
  <si>
    <t>PV of Energy Savings indexed</t>
  </si>
  <si>
    <t>from table below</t>
  </si>
  <si>
    <t>ElectricLoadProfile</t>
  </si>
  <si>
    <t>PV_kWh</t>
  </si>
  <si>
    <t>Version</t>
  </si>
  <si>
    <t>Technical Review</t>
  </si>
  <si>
    <t>Company Name</t>
  </si>
  <si>
    <t>Retrofit</t>
  </si>
  <si>
    <t>New Construction</t>
  </si>
  <si>
    <t>Intended Use</t>
  </si>
  <si>
    <t>General Instructions</t>
  </si>
  <si>
    <t>Project Type</t>
  </si>
  <si>
    <t>NC/R</t>
  </si>
  <si>
    <t>Notes or Instructions</t>
  </si>
  <si>
    <t>Length of re-conductor section (in miles)</t>
  </si>
  <si>
    <t>Power Factor at Peak (%)</t>
  </si>
  <si>
    <t>Annual Apparent Peak Power at the START of section (kVA)</t>
  </si>
  <si>
    <t>Annual Apparent Peak Power at the END of section (kVA)</t>
  </si>
  <si>
    <t>Annual Load Factor ( kWavg / kWannual peak, as a %)</t>
  </si>
  <si>
    <t>Line to ground Voltage (kV)</t>
  </si>
  <si>
    <t>Phase A Current (Amps)</t>
  </si>
  <si>
    <t>Phase B Current (Amps)</t>
  </si>
  <si>
    <t>Phase C Current (Amps)</t>
  </si>
  <si>
    <t>Neutral Current (Amps)</t>
  </si>
  <si>
    <t>Peak Load-Loss (kW)</t>
  </si>
  <si>
    <t>Annual No-Load (core) Energy Losses (kWh/year)</t>
  </si>
  <si>
    <t>Annual Load (winding) Energy Losses (kWh/year)</t>
  </si>
  <si>
    <t>Annual Energy Losses (kWh/year)</t>
  </si>
  <si>
    <t>Busbar Savings</t>
  </si>
  <si>
    <t>Zip</t>
  </si>
  <si>
    <t>State</t>
  </si>
  <si>
    <t>Street</t>
  </si>
  <si>
    <t>City</t>
  </si>
  <si>
    <t>Neutral Conductor</t>
  </si>
  <si>
    <t>Main Contact Name:</t>
  </si>
  <si>
    <t>Main Contact Email:</t>
  </si>
  <si>
    <t>Main Contact Phone:</t>
  </si>
  <si>
    <t>Average electric rate per kWh:</t>
  </si>
  <si>
    <t>Calculator Version:</t>
  </si>
  <si>
    <t>Busbar Factor</t>
  </si>
  <si>
    <t>Measure RefNo</t>
  </si>
  <si>
    <t>Measure Name</t>
  </si>
  <si>
    <t>Instructions for Using the Re-Conductor &amp; Transformer Energy Savings Calculator</t>
  </si>
  <si>
    <t>Are you shifting load IN or OUT of the subject feeder?</t>
  </si>
  <si>
    <t>M&amp;V</t>
  </si>
  <si>
    <t>Data Sources for Re-Conductor</t>
  </si>
  <si>
    <t>Data Sources for Transformer</t>
  </si>
  <si>
    <t xml:space="preserve">The energy savings are based on engineering calculations using the best and most recent measured load information.  There is no need to measure pre and post.  There is no adjustment for load growth, savings are based on current operational data. Verification that the project was implemented as described is to be documented by the utility performing the work on their system.  </t>
  </si>
  <si>
    <t>Project Cost Documentation</t>
  </si>
  <si>
    <t>amps</t>
  </si>
  <si>
    <t>sum check</t>
  </si>
  <si>
    <t>Not Yet Reviewed</t>
  </si>
  <si>
    <t>Modification Requested</t>
  </si>
  <si>
    <t>Approved</t>
  </si>
  <si>
    <t>M&amp;V Completion Date</t>
  </si>
  <si>
    <t>Are you entering current values manually?</t>
  </si>
  <si>
    <t>Annual Loss Factor (.85*LF^2+.15*LF)</t>
  </si>
  <si>
    <r>
      <t xml:space="preserve">Phase Conductor Resistance  </t>
    </r>
    <r>
      <rPr>
        <sz val="11"/>
        <rFont val="Calibri"/>
        <family val="2"/>
        <scheme val="minor"/>
      </rPr>
      <t>(Ohm)</t>
    </r>
  </si>
  <si>
    <r>
      <t xml:space="preserve">Neutral Conductor Resistance </t>
    </r>
    <r>
      <rPr>
        <sz val="11"/>
        <rFont val="Calibri"/>
        <family val="2"/>
        <scheme val="minor"/>
      </rPr>
      <t xml:space="preserve"> (Ohm)</t>
    </r>
  </si>
  <si>
    <t>4. Select: Create From File</t>
  </si>
  <si>
    <t>6. Check: Display as Icon (Do not Check Link to File, if option)</t>
  </si>
  <si>
    <t>2. From the Menu Bar -&gt; Click Insert</t>
  </si>
  <si>
    <t xml:space="preserve">For Additional Files, click on the cells to the right -----------&gt; as needed and follow the same instructions </t>
  </si>
  <si>
    <t>3. From Insert -&gt; Click Object</t>
  </si>
  <si>
    <t>5. Browse and select the file to be uploaded</t>
  </si>
  <si>
    <t>1. Click on this cell ---------------------------------&gt;</t>
  </si>
  <si>
    <t>Incentive Rate ($/kWh)</t>
  </si>
  <si>
    <t xml:space="preserve">The fundamental energy savings input parameter is Annual Peak Current (A) at the start and end of the section being re-conductored.  If annual peak phase and neutral current (amps) can be estimated using a well calibrated load flow model that can be a good source.  Attention to phase current imbalance is important.  The file allows for phase conducotor specific currents to be entered. If the currents are not known or difficult to estimate, use peak power (kW) estimates with corresponding power factor at peak for the re-conductor section.  The calculator derives peak currents from the power input data.    Load Factor for the Re-Conductor section can use the corresponding source substation load factor.  BPA technical staff can provide Load Factor value using the most appropriate BPA revenue metered data. </t>
  </si>
  <si>
    <t xml:space="preserve">The fundamental energy savings input parameters are the manufacturer documented no-load loss and nameplate load loss (kW) for the old and new transformer.  The loss test sheet can be difficult to locate for the old transformer.  BPA technical support can help assist in locating the report or providing an estimate.  Peak load power (kVA) and  Load Factor for the Transformer can readily be provided by BPA technical staff using BPA revenue metered data when applicable. </t>
  </si>
  <si>
    <t>Similar to the custom project requirement, this calculator needs to document the project cost.  Each project / measure tab has a location to electronically append a PDF file documenting project cost.</t>
  </si>
  <si>
    <r>
      <rPr>
        <b/>
        <sz val="10"/>
        <color theme="1"/>
        <rFont val="Calibri"/>
        <family val="2"/>
        <scheme val="minor"/>
      </rPr>
      <t>BPA Technical Support:</t>
    </r>
    <r>
      <rPr>
        <sz val="10"/>
        <color theme="1"/>
        <rFont val="Calibri"/>
        <family val="2"/>
        <scheme val="minor"/>
      </rPr>
      <t xml:space="preserve">   Tony Koch,   206.220.6777,    jakoch@bpa.gov</t>
    </r>
  </si>
  <si>
    <t>Total Annual Site Energy Savings (kWh/year)</t>
  </si>
  <si>
    <t>Total Annual Busbar Energy Savings (kWh/year)</t>
  </si>
  <si>
    <t>BUSBAR Factor</t>
  </si>
  <si>
    <t>7. Click on Change Icon</t>
  </si>
  <si>
    <t>8. Type your choice of file name in the caption line, click OK</t>
  </si>
  <si>
    <t>9. Hit OK</t>
  </si>
  <si>
    <t>ERROR CHECK:</t>
  </si>
  <si>
    <t>Attach Below</t>
  </si>
  <si>
    <t>Please Include:  Loss Test Report for Exisiting and Loss Test Report for Proposed</t>
  </si>
  <si>
    <t>RC1</t>
  </si>
  <si>
    <t>RC3</t>
  </si>
  <si>
    <t>RC4</t>
  </si>
  <si>
    <t>TF1</t>
  </si>
  <si>
    <t>TF2</t>
  </si>
  <si>
    <t>TF3</t>
  </si>
  <si>
    <t>TF4</t>
  </si>
  <si>
    <r>
      <t xml:space="preserve">Sum I^2R </t>
    </r>
    <r>
      <rPr>
        <sz val="11"/>
        <rFont val="Calibri"/>
        <family val="2"/>
        <scheme val="minor"/>
      </rPr>
      <t xml:space="preserve"> (peak loss kW)</t>
    </r>
  </si>
  <si>
    <t>Re-Conductoring Tab 1</t>
  </si>
  <si>
    <t>Transformer Tab 1</t>
  </si>
  <si>
    <t>Transformer Tab 2</t>
  </si>
  <si>
    <t>Transformer Tab 3</t>
  </si>
  <si>
    <t>Transformer Tab 4</t>
  </si>
  <si>
    <t>Re-conductor &amp; Transformer Calculator</t>
  </si>
  <si>
    <t>Total Site Savings kWh</t>
  </si>
  <si>
    <t>Released on:</t>
  </si>
  <si>
    <t>File Completed Date:</t>
  </si>
  <si>
    <r>
      <t>Annual</t>
    </r>
    <r>
      <rPr>
        <sz val="11"/>
        <color theme="1"/>
        <rFont val="Calibri"/>
        <family val="2"/>
        <scheme val="minor"/>
      </rPr>
      <t xml:space="preserve"> Peak Power at the START of section (kW)</t>
    </r>
  </si>
  <si>
    <r>
      <t>Annual</t>
    </r>
    <r>
      <rPr>
        <sz val="11"/>
        <color theme="1"/>
        <rFont val="Calibri"/>
        <family val="2"/>
        <scheme val="minor"/>
      </rPr>
      <t xml:space="preserve"> Peak Power at the END of section (kW)</t>
    </r>
  </si>
  <si>
    <r>
      <t xml:space="preserve">BPA Technical Support:   </t>
    </r>
    <r>
      <rPr>
        <sz val="10"/>
        <rFont val="Arial"/>
        <family val="2"/>
      </rPr>
      <t>Tony Koch,   206.220.6777,    jakoch@bpa.gov</t>
    </r>
  </si>
  <si>
    <t>Total Busbar Saving kWh</t>
  </si>
  <si>
    <t>Up-Load file documenting Project Cost and Loss Reports</t>
  </si>
  <si>
    <t>How many transformer measures are you submitting?</t>
  </si>
  <si>
    <t>RC5</t>
  </si>
  <si>
    <t>RC6</t>
  </si>
  <si>
    <t>TF5</t>
  </si>
  <si>
    <t>TF6</t>
  </si>
  <si>
    <t>Transformer Tab 5</t>
  </si>
  <si>
    <t>Transformer Tab 6</t>
  </si>
  <si>
    <t>RC2</t>
  </si>
  <si>
    <t>Energy Savings Analysis</t>
  </si>
  <si>
    <t>Total Incentive Available</t>
  </si>
  <si>
    <t xml:space="preserve">Requested EEI </t>
  </si>
  <si>
    <t xml:space="preserve">Requested Self Funded </t>
  </si>
  <si>
    <t>test city</t>
  </si>
  <si>
    <t>test st</t>
  </si>
  <si>
    <t>Transformer totals</t>
  </si>
  <si>
    <t>Reference number</t>
  </si>
  <si>
    <t>Total Incentives</t>
  </si>
  <si>
    <t>EEI Incentives</t>
  </si>
  <si>
    <t>Self-funded incentives</t>
  </si>
  <si>
    <t>Tab</t>
  </si>
  <si>
    <t>Upload Check</t>
  </si>
  <si>
    <t>Project BC Ratio:</t>
  </si>
  <si>
    <r>
      <t xml:space="preserve">Sum I^2R </t>
    </r>
    <r>
      <rPr>
        <sz val="11"/>
        <rFont val="Calibri"/>
        <family val="2"/>
        <scheme val="minor"/>
      </rPr>
      <t xml:space="preserve"> (peak loss W)</t>
    </r>
  </si>
  <si>
    <t>Total Project Cost ($)</t>
  </si>
  <si>
    <t>Re-Conductoring Tab 2</t>
  </si>
  <si>
    <t>Re-Conductoring Tab 3</t>
  </si>
  <si>
    <t>Re-Conductoring Tab 4</t>
  </si>
  <si>
    <t>Re-Conductoring Tab 5</t>
  </si>
  <si>
    <t>Re-Conductoring Tab 6</t>
  </si>
  <si>
    <t>B/C Qualification:</t>
  </si>
  <si>
    <t xml:space="preserve">Facility Street Address </t>
  </si>
  <si>
    <t xml:space="preserve">Facility City </t>
  </si>
  <si>
    <t xml:space="preserve">Facility State </t>
  </si>
  <si>
    <t xml:space="preserve">Facility ZIP </t>
  </si>
  <si>
    <t>Building Name(s)</t>
  </si>
  <si>
    <t xml:space="preserve">Primary Building Use </t>
  </si>
  <si>
    <t xml:space="preserve">Secondary Building Use </t>
  </si>
  <si>
    <t xml:space="preserve">Federal? (Yes/No) </t>
  </si>
  <si>
    <t>Utility-Assigned Project ID</t>
  </si>
  <si>
    <t>Proposal Submission Date</t>
  </si>
  <si>
    <t xml:space="preserve">Estimated Project Start Date (MM/DD/YYYY) </t>
  </si>
  <si>
    <t xml:space="preserve">TSP Number </t>
  </si>
  <si>
    <t>Associated EPM Name</t>
  </si>
  <si>
    <t xml:space="preserve">Brief Project Summary (1-3 sentences) </t>
  </si>
  <si>
    <t xml:space="preserve">Utility Retail Rate (cents/kWh) </t>
  </si>
  <si>
    <t xml:space="preserve">Unique Site ID </t>
  </si>
  <si>
    <t xml:space="preserve">Third Party Contract Number </t>
  </si>
  <si>
    <t xml:space="preserve">Audit Tracking Number </t>
  </si>
  <si>
    <t>Container Name</t>
  </si>
  <si>
    <t>COTR Approval Date (Proposal)</t>
  </si>
  <si>
    <t>Approved By (COTR name) (Proposal)</t>
  </si>
  <si>
    <t>Engineering Technical Review provided by: (Proposal)</t>
  </si>
  <si>
    <t>Completion Report Date Submitted (MM/DD/YYYY)</t>
  </si>
  <si>
    <t>Actual Project Start Date</t>
  </si>
  <si>
    <t>Date Measure(s) Installed</t>
  </si>
  <si>
    <t>Completion Report Submitted by</t>
  </si>
  <si>
    <t>Company Mailing Address</t>
  </si>
  <si>
    <t>Company City</t>
  </si>
  <si>
    <t>Company State</t>
  </si>
  <si>
    <t>Company ZIP</t>
  </si>
  <si>
    <t>Project Contact Name (employee at Facility)</t>
  </si>
  <si>
    <t>Project Contact Job Title</t>
  </si>
  <si>
    <t>Project Contact Phone Number</t>
  </si>
  <si>
    <t>Project Contact Email</t>
  </si>
  <si>
    <t>Account (BES) Number</t>
  </si>
  <si>
    <t>BPA Assigned Project ID</t>
  </si>
  <si>
    <t>Project Sector</t>
  </si>
  <si>
    <t>Percentage EEI Funding</t>
  </si>
  <si>
    <t>Percentage LPF Funding</t>
  </si>
  <si>
    <t>Percentage of Funds Not Requested from BPA</t>
  </si>
  <si>
    <t>Total Project Payment to End User ($)</t>
  </si>
  <si>
    <t>Reimbursement already paid by progress payments</t>
  </si>
  <si>
    <t>Adjusted Maximum Project BPA Reimbursement</t>
  </si>
  <si>
    <t>Total Requested BPA Reimbursement</t>
  </si>
  <si>
    <t>Requested Project BPA Reimbursment - EEI ($)</t>
  </si>
  <si>
    <t>Requested Project BPA Reimbursment - LPF ($)</t>
  </si>
  <si>
    <t>Were Engineering Calculations with Verification used?</t>
  </si>
  <si>
    <t>Completion Report COTR Approval Date</t>
  </si>
  <si>
    <t xml:space="preserve">Completion Report Approved By: </t>
  </si>
  <si>
    <t>Completion Report Engineering Technical Review provided by:</t>
  </si>
  <si>
    <t>Estimated Project TRC Ratio</t>
  </si>
  <si>
    <t>Actual Total Project Savings -  Site (kWh)</t>
  </si>
  <si>
    <t>Actual Total Project Savings -  Busbar (kWh)</t>
  </si>
  <si>
    <t>Actual Project EEI Funded Savings</t>
  </si>
  <si>
    <t>Actual Project LPF Funded Savings</t>
  </si>
  <si>
    <t>Actual Project Self-Funded Savings</t>
  </si>
  <si>
    <t>Actual Sum of Project Benefits</t>
  </si>
  <si>
    <t>Actual Sum of Project Costs</t>
  </si>
  <si>
    <t>Actual Sum of Total Project Costs</t>
  </si>
  <si>
    <t>Actual Project TRC Ratio</t>
  </si>
  <si>
    <t>Estimated Project Simple Payback (Years)</t>
  </si>
  <si>
    <t>Actual Project Simple Payback (Years)</t>
  </si>
  <si>
    <t>70% of Project Cost Cap</t>
  </si>
  <si>
    <t>Sum of Measure-Level Reimbursement</t>
  </si>
  <si>
    <t>Maximum Project BPA Reimbursement</t>
  </si>
  <si>
    <t>Non-Reportable Savings</t>
  </si>
  <si>
    <t>Lighting Wattage Reduction (%)</t>
  </si>
  <si>
    <t>Process Type</t>
  </si>
  <si>
    <t>Construction Type</t>
  </si>
  <si>
    <t>Porfolio TRC</t>
  </si>
  <si>
    <t>M&amp;V Protocol Utilized</t>
  </si>
  <si>
    <t>Percentage LPP Funding</t>
  </si>
  <si>
    <t>Requested Project BPA Reimbursment - LPP ($)</t>
  </si>
  <si>
    <t>Actual Project LPP Funded Savings</t>
  </si>
  <si>
    <t>Self-funding Allocated kWh %</t>
  </si>
  <si>
    <t>Outreach Engineer</t>
  </si>
  <si>
    <t>Estimated Measure Cost ($)</t>
  </si>
  <si>
    <t>Actual Measure Cost ($)</t>
  </si>
  <si>
    <t>Estimated Measure SITE Savings (kWh)</t>
  </si>
  <si>
    <t>Actual Measure SITE Savings (kWh)</t>
  </si>
  <si>
    <t>Estimated Annual Measure Non-Energy Benefits ($/Year)</t>
  </si>
  <si>
    <t>Actual Annual Measure Non-Energy Benefits ($/Year)</t>
  </si>
  <si>
    <t>Estimated Annual Measure O&amp;M Change ($/Year)</t>
  </si>
  <si>
    <t>Actual Annual Measure O&amp;M Change ($/Year)</t>
  </si>
  <si>
    <t>Measure Based Eligible Reimbursement Rate ($/kWh)</t>
  </si>
  <si>
    <t xml:space="preserve">Estimated Measure  B/C Ratio </t>
  </si>
  <si>
    <t>Estimated Measure Calculated Reimbursement ($)</t>
  </si>
  <si>
    <t>Estimated Measure Busbar kWh Savings</t>
  </si>
  <si>
    <t xml:space="preserve">Estimated Measure Present Value of Energy Savings </t>
  </si>
  <si>
    <t>Estimated Measure Present Value of Non-Energy Benefits</t>
  </si>
  <si>
    <t>Estimated Measure Present Value of O&amp;M Change</t>
  </si>
  <si>
    <t>Estimated Measure Total Present Value of Benefits</t>
  </si>
  <si>
    <t>Estimated Measure Total Costs</t>
  </si>
  <si>
    <t xml:space="preserve">Actual Measure B/C Ratio </t>
  </si>
  <si>
    <t>Calculated Measure Reimbursement ($)</t>
  </si>
  <si>
    <t>Actual Measure Busbar kWh Savings</t>
  </si>
  <si>
    <t xml:space="preserve">Present Value of Measure Energy Savings </t>
  </si>
  <si>
    <t>Present Value of Measure Non-Energy Benefits</t>
  </si>
  <si>
    <t>Present Value of Measure O&amp;M Change</t>
  </si>
  <si>
    <t>Actual Measure Total Present Value of Benefits</t>
  </si>
  <si>
    <t>Actual Measure Total Costs</t>
  </si>
  <si>
    <t>Utility-Assigned Project ID (Previously entered into the Project Proposal tab)</t>
  </si>
  <si>
    <t>Site Savings</t>
  </si>
  <si>
    <t>Non building measure</t>
  </si>
  <si>
    <t>Federal Facility?</t>
  </si>
  <si>
    <t>Federal</t>
  </si>
  <si>
    <t>Project Name or ID:</t>
  </si>
  <si>
    <t>Unique Site ID:</t>
  </si>
  <si>
    <t>Main Contact Job Title:</t>
  </si>
  <si>
    <t>Total PV Benefits ($/kWh)</t>
  </si>
  <si>
    <t>PV Benefits</t>
  </si>
  <si>
    <t>Engineering Calculations with Verification</t>
  </si>
  <si>
    <t>BPA-Assigned Project ID:</t>
  </si>
  <si>
    <t>BPA USE ONLY</t>
  </si>
  <si>
    <t>ID</t>
  </si>
  <si>
    <t>WA</t>
  </si>
  <si>
    <t>OR</t>
  </si>
  <si>
    <t>MT</t>
  </si>
  <si>
    <t>Project Start:</t>
  </si>
  <si>
    <t>M&amp;V Completion Date:</t>
  </si>
  <si>
    <t>Data entry by:</t>
  </si>
  <si>
    <t>Data entry date:</t>
  </si>
  <si>
    <t>Date of Approval</t>
  </si>
  <si>
    <t>Note:  If feeder specific data is not available, you can use the load factor of the source substation. LF = (Average Annual kW / Annual Hourly Peak kW) =  [(Annual Energy in kWh / 8760 hours) / Annual Hourly Peak kW]</t>
  </si>
  <si>
    <t>Note: You may manually enter kVA values but by manually entering kVA you may not be able to revert to calculated value</t>
  </si>
  <si>
    <t>Compliance Review</t>
  </si>
  <si>
    <t>Reviewing COTR's Name</t>
  </si>
  <si>
    <t>Reviewing Engineer's Name</t>
  </si>
  <si>
    <t>Peak Annual (Hourly) Power on Transformer (kVA)</t>
  </si>
  <si>
    <t>Average (Hourly) Power on Transformer (kVA)</t>
  </si>
  <si>
    <t>Nameplate Power of the Transformer (kVA)</t>
  </si>
  <si>
    <t>Load Loss at Nameplate Rated Power (kW)</t>
  </si>
  <si>
    <t>No Load Loss Nameplate Rated Power (kW)</t>
  </si>
  <si>
    <t>Start at the Summary tab.  Enter general information.  Then, move to specific tab(s).  One tab per section of Re-Conductor or Transformer.  Yellow cells are for manually entered information, blue cells are automatically calculated.  The energy savings calculations and M&amp;V practice follow the same established process used in custom projects for these measures.  This file attempts to cover the most common applications of Re-Conductor and Transformer projects, but there maybe cases when a project scope does not fit into the available format.  BPA technical staff is available to address those situations and any questions you may have about filling out this file.  See point of contact below.</t>
  </si>
  <si>
    <t>File Naming Convention</t>
  </si>
  <si>
    <t xml:space="preserve">The Calculator was developed by BPA's Energy Efficiency team to offer an alternate path to the custom project path for reporting savings from these two measures.  It allows multiple projects to be entered into one file.  Each project or sub-project is entered into seaparate tabs.  The file currently allows up to six (6) Re-Conductor and six (6) Transformer measures to be entered. The intent of transformer size in this application is to report substation level power transformers, or large transformers servicing retail C&amp;I loads, e.g, 1 MVA or larger.  The calculator is intended for utility owned equipment only.  Future versions may consider adding measures that apply to energy savings from retail facility owned Re-Conductor &amp; Tranformer replacements.   </t>
  </si>
  <si>
    <t>Tech Approval</t>
  </si>
  <si>
    <t>Status of Tech Approval:</t>
  </si>
  <si>
    <t>Status of Compliance Approval:</t>
  </si>
  <si>
    <t>Tech Approval Status:</t>
  </si>
  <si>
    <t>Compliance Approval Status:</t>
  </si>
  <si>
    <t xml:space="preserve">Note: If you choose to enter Manual Current, you may manually enter Proposed and Neutral Current but you may not be able to revert to calculated value. </t>
  </si>
  <si>
    <t>Reduce Loss on a to be Purchased Transformer</t>
  </si>
  <si>
    <t>NOTE: THERE IS A 7 MB TOTAL FILE SIZE LIMIT FOR SUBMITTAL</t>
  </si>
  <si>
    <t>Quantity</t>
  </si>
  <si>
    <t>Revisions</t>
  </si>
  <si>
    <t>v1.1</t>
  </si>
  <si>
    <t>Removed 'Master Ouputs' Tab</t>
  </si>
  <si>
    <t>Added Revisions Tab</t>
  </si>
  <si>
    <t>Added quantity dropdown for each Transformer tab. Energy savings for Transformers is multiplied by quantity</t>
  </si>
  <si>
    <t>EEI</t>
  </si>
  <si>
    <t>SF</t>
  </si>
  <si>
    <t>Added If Transformer project cost is less than zero, total incentive is zero</t>
  </si>
  <si>
    <t>Unit Annual Energy Losses (kWh/year)</t>
  </si>
  <si>
    <t>Unit Annual Site Energy Savings (kWh/year)</t>
  </si>
  <si>
    <t>Unit Project Cost ($) (Quantity = 1)</t>
  </si>
  <si>
    <t>Added Unit Savings and Unit Project cost boxes for Transformer tabs</t>
  </si>
  <si>
    <t>.</t>
  </si>
  <si>
    <r>
      <t xml:space="preserve"> </t>
    </r>
    <r>
      <rPr>
        <b/>
        <i/>
        <sz val="14"/>
        <color theme="1"/>
        <rFont val="Times New Roman"/>
        <family val="1"/>
      </rPr>
      <t xml:space="preserve"> </t>
    </r>
    <r>
      <rPr>
        <b/>
        <i/>
        <sz val="12"/>
        <color theme="1"/>
        <rFont val="Times New Roman"/>
        <family val="1"/>
      </rPr>
      <t>RT_V1-1_ReconductorTransformer_</t>
    </r>
    <r>
      <rPr>
        <b/>
        <i/>
        <sz val="12"/>
        <color rgb="FF7030A0"/>
        <rFont val="Times New Roman"/>
        <family val="1"/>
      </rPr>
      <t>project specific text here</t>
    </r>
    <r>
      <rPr>
        <b/>
        <i/>
        <sz val="12"/>
        <color theme="1"/>
        <rFont val="Times New Roman"/>
        <family val="1"/>
      </rPr>
      <t>.xlsx</t>
    </r>
  </si>
  <si>
    <t>NPV</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</si>
</sst>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6">
    <numFmt numFmtId="44" formatCode="_(&quot;$&quot;* #,##0.00_);_(&quot;$&quot;* \(#,##0.00\);_(&quot;$&quot;* &quot;-&quot;??_);_(@_)"/>
    <numFmt numFmtId="43" formatCode="_(* #,##0.00_);_(* \(#,##0.00\);_(* &quot;-&quot;??_);_(@_)"/>
    <numFmt numFmtId="164" formatCode="0.000"/>
    <numFmt numFmtId="165" formatCode="0.0"/>
    <numFmt numFmtId="166" formatCode="&quot;$&quot;#,##0.00"/>
    <numFmt numFmtId="167" formatCode="_(&quot;$&quot;* #,##0_);_(&quot;$&quot;* \(#,##0\);_(&quot;$&quot;* &quot;-&quot;??_);_(@_)"/>
    <numFmt numFmtId="168" formatCode="&quot;$&quot;#,##0.000"/>
    <numFmt numFmtId="169" formatCode="#,##0.0"/>
    <numFmt numFmtId="170" formatCode="0.0\ \°\F"/>
    <numFmt numFmtId="171" formatCode="mmm\-dd"/>
    <numFmt numFmtId="172" formatCode="mmm\-dd\ \ dddd"/>
    <numFmt numFmtId="173" formatCode="mmm\-dd\ \ hh"/>
    <numFmt numFmtId="174" formatCode="mmm\-dd\ \ hh:mm"/>
    <numFmt numFmtId="175" formatCode="0.000000"/>
    <numFmt numFmtId="176" formatCode="0.0%"/>
    <numFmt numFmtId="177" formatCode="0.0000"/>
  </numFmts>
  <fonts count="43" x14ac:knownFonts="1">
    <font>
      <sz val="11"/>
      <color theme="1"/>
      <name val="Calibri"/>
      <family val="2"/>
      <scheme val="minor"/>
    </font>
    <font>
      <sz val="11"/>
      <color rgb="FFFF0000"/>
      <name val="Calibri"/>
      <family val="2"/>
      <scheme val="minor"/>
    </font>
    <font>
      <b/>
      <sz val="11"/>
      <color theme="1"/>
      <name val="Calibri"/>
      <family val="2"/>
      <scheme val="minor"/>
    </font>
    <font>
      <sz val="11"/>
      <color theme="1"/>
      <name val="Calibri"/>
      <family val="2"/>
    </font>
    <font>
      <b/>
      <sz val="14"/>
      <color theme="1"/>
      <name val="Calibri"/>
      <family val="2"/>
      <scheme val="minor"/>
    </font>
    <font>
      <sz val="11"/>
      <name val="Calibri"/>
      <family val="2"/>
      <scheme val="minor"/>
    </font>
    <font>
      <b/>
      <sz val="10"/>
      <name val="Arial"/>
      <family val="2"/>
    </font>
    <font>
      <b/>
      <sz val="12"/>
      <color indexed="9"/>
      <name val="Arial"/>
      <family val="2"/>
    </font>
    <font>
      <sz val="10"/>
      <color indexed="8"/>
      <name val="Arial"/>
      <family val="2"/>
    </font>
    <font>
      <sz val="10"/>
      <name val="Arial"/>
      <family val="2"/>
    </font>
    <font>
      <sz val="11"/>
      <color theme="1"/>
      <name val="Calibri"/>
      <family val="2"/>
      <scheme val="minor"/>
    </font>
    <font>
      <sz val="11"/>
      <name val="Calibri"/>
      <family val="2"/>
    </font>
    <font>
      <sz val="11"/>
      <color indexed="8"/>
      <name val="Calibri"/>
      <family val="2"/>
    </font>
    <font>
      <u/>
      <sz val="11"/>
      <color theme="10"/>
      <name val="Calibri"/>
      <family val="2"/>
    </font>
    <font>
      <b/>
      <sz val="11"/>
      <name val="Calibri"/>
      <family val="2"/>
    </font>
    <font>
      <sz val="10"/>
      <name val="Arial"/>
      <family val="2"/>
    </font>
    <font>
      <sz val="10"/>
      <color indexed="57"/>
      <name val="Arial"/>
      <family val="2"/>
    </font>
    <font>
      <sz val="8"/>
      <name val="Arial"/>
      <family val="2"/>
    </font>
    <font>
      <b/>
      <sz val="12"/>
      <name val="Arial"/>
      <family val="2"/>
    </font>
    <font>
      <b/>
      <sz val="11"/>
      <name val="Arial"/>
      <family val="2"/>
    </font>
    <font>
      <sz val="11"/>
      <name val="Times New Roman"/>
      <family val="1"/>
    </font>
    <font>
      <sz val="7"/>
      <color indexed="23"/>
      <name val="Arial"/>
      <family val="2"/>
    </font>
    <font>
      <sz val="10"/>
      <name val="Calibri"/>
      <family val="2"/>
    </font>
    <font>
      <u/>
      <sz val="11"/>
      <color theme="10"/>
      <name val="Calibri"/>
      <family val="2"/>
      <scheme val="minor"/>
    </font>
    <font>
      <b/>
      <sz val="11"/>
      <name val="Calibri"/>
      <family val="2"/>
      <scheme val="minor"/>
    </font>
    <font>
      <sz val="11"/>
      <color theme="0"/>
      <name val="Calibri"/>
      <family val="2"/>
      <scheme val="minor"/>
    </font>
    <font>
      <strike/>
      <sz val="11"/>
      <color theme="1"/>
      <name val="Calibri"/>
      <family val="2"/>
      <scheme val="minor"/>
    </font>
    <font>
      <sz val="10"/>
      <color theme="1"/>
      <name val="Calibri"/>
      <family val="2"/>
      <scheme val="minor"/>
    </font>
    <font>
      <b/>
      <sz val="10"/>
      <color theme="1"/>
      <name val="Calibri"/>
      <family val="2"/>
      <scheme val="minor"/>
    </font>
    <font>
      <b/>
      <sz val="11"/>
      <color rgb="FFFF0000"/>
      <name val="Calibri"/>
      <family val="2"/>
      <scheme val="minor"/>
    </font>
    <font>
      <b/>
      <sz val="16"/>
      <name val="Calibri"/>
      <family val="2"/>
      <scheme val="minor"/>
    </font>
    <font>
      <b/>
      <sz val="11"/>
      <color rgb="FF7030A0"/>
      <name val="Calibri"/>
      <family val="2"/>
      <scheme val="minor"/>
    </font>
    <font>
      <b/>
      <sz val="11"/>
      <color rgb="FF00B050"/>
      <name val="Calibri"/>
      <family val="2"/>
      <scheme val="minor"/>
    </font>
    <font>
      <i/>
      <sz val="14"/>
      <color theme="1"/>
      <name val="Times New Roman"/>
      <family val="1"/>
    </font>
    <font>
      <b/>
      <i/>
      <sz val="14"/>
      <color theme="1"/>
      <name val="Times New Roman"/>
      <family val="1"/>
    </font>
    <font>
      <b/>
      <i/>
      <sz val="12"/>
      <color theme="1"/>
      <name val="Times New Roman"/>
      <family val="1"/>
    </font>
    <font>
      <b/>
      <i/>
      <sz val="12"/>
      <color rgb="FF7030A0"/>
      <name val="Times New Roman"/>
      <family val="1"/>
    </font>
    <font>
      <sz val="11"/>
      <color theme="3"/>
      <name val="Calibri"/>
      <family val="2"/>
      <scheme val="minor"/>
    </font>
    <font>
      <b/>
      <sz val="12"/>
      <color theme="1"/>
      <name val="Calibri"/>
      <family val="2"/>
      <scheme val="minor"/>
    </font>
    <font>
      <u/>
      <sz val="10"/>
      <color theme="10"/>
      <name val="Arial"/>
      <family val="2"/>
    </font>
    <font>
      <b/>
      <sz val="22"/>
      <name val="Calibri"/>
      <family val="2"/>
      <scheme val="minor"/>
    </font>
    <font>
      <b/>
      <sz val="14"/>
      <color rgb="FFFF0000"/>
      <name val="Calibri"/>
      <family val="2"/>
      <scheme val="minor"/>
    </font>
    <font>
      <b/>
      <sz val="10.5"/>
      <color theme="1"/>
      <name val="Calibri"/>
      <family val="2"/>
      <scheme val="minor"/>
    </font>
  </fonts>
  <fills count="35">
    <fill>
      <patternFill patternType="none"/>
    </fill>
    <fill>
      <patternFill patternType="gray125"/>
    </fill>
    <fill>
      <patternFill patternType="solid">
        <fgColor indexed="23"/>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99CCFF"/>
        <bgColor indexed="64"/>
      </patternFill>
    </fill>
    <fill>
      <patternFill patternType="solid">
        <fgColor theme="6" tint="0.79998168889431442"/>
        <bgColor indexed="64"/>
      </patternFill>
    </fill>
    <fill>
      <patternFill patternType="solid">
        <fgColor indexed="41"/>
        <bgColor indexed="64"/>
      </patternFill>
    </fill>
    <fill>
      <patternFill patternType="solid">
        <fgColor indexed="9"/>
        <bgColor indexed="64"/>
      </patternFill>
    </fill>
    <fill>
      <patternFill patternType="solid">
        <fgColor indexed="55"/>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solid">
        <fgColor theme="0" tint="-0.499984740745262"/>
        <bgColor indexed="64"/>
      </patternFill>
    </fill>
    <fill>
      <patternFill patternType="solid">
        <fgColor theme="0"/>
        <bgColor indexed="64"/>
      </patternFill>
    </fill>
    <fill>
      <patternFill patternType="solid">
        <fgColor rgb="FFCCFFCC"/>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rgb="FFFFFFCC"/>
        <bgColor indexed="64"/>
      </patternFill>
    </fill>
    <fill>
      <patternFill patternType="solid">
        <fgColor rgb="FFFFEFFF"/>
        <bgColor indexed="64"/>
      </patternFill>
    </fill>
    <fill>
      <patternFill patternType="solid">
        <fgColor theme="1"/>
        <bgColor indexed="64"/>
      </patternFill>
    </fill>
    <fill>
      <patternFill patternType="solid">
        <fgColor theme="3" tint="0.39997558519241921"/>
        <bgColor indexed="64"/>
      </patternFill>
    </fill>
    <fill>
      <patternFill patternType="solid">
        <fgColor theme="8"/>
        <bgColor indexed="64"/>
      </patternFill>
    </fill>
    <fill>
      <patternFill patternType="solid">
        <fgColor theme="6"/>
        <bgColor indexed="64"/>
      </patternFill>
    </fill>
  </fills>
  <borders count="54">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22"/>
      </left>
      <right style="thin">
        <color indexed="22"/>
      </right>
      <top style="thin">
        <color indexed="22"/>
      </top>
      <bottom style="thin">
        <color indexed="22"/>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indexed="64"/>
      </top>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medium">
        <color indexed="64"/>
      </left>
      <right/>
      <top/>
      <bottom/>
      <diagonal/>
    </border>
    <border>
      <left/>
      <right style="medium">
        <color indexed="64"/>
      </right>
      <top/>
      <bottom/>
      <diagonal/>
    </border>
    <border>
      <left style="thin">
        <color indexed="64"/>
      </left>
      <right style="thin">
        <color indexed="64"/>
      </right>
      <top style="thin">
        <color indexed="64"/>
      </top>
      <bottom style="medium">
        <color indexed="64"/>
      </bottom>
      <diagonal/>
    </border>
    <border>
      <left style="thin">
        <color rgb="FFB2B2B2"/>
      </left>
      <right style="thin">
        <color rgb="FFB2B2B2"/>
      </right>
      <top style="thin">
        <color rgb="FFB2B2B2"/>
      </top>
      <bottom style="thin">
        <color rgb="FFB2B2B2"/>
      </bottom>
      <diagonal/>
    </border>
    <border>
      <left style="thin">
        <color auto="1"/>
      </left>
      <right style="thin">
        <color auto="1"/>
      </right>
      <top style="thin">
        <color auto="1"/>
      </top>
      <bottom style="thin">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indexed="64"/>
      </top>
      <bottom style="medium">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176">
    <xf numFmtId="0" fontId="0"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10" fillId="0" borderId="0" applyFont="0" applyFill="0" applyBorder="0" applyAlignment="0" applyProtection="0"/>
    <xf numFmtId="43" fontId="12" fillId="0" borderId="0" applyFont="0" applyFill="0" applyBorder="0" applyAlignment="0" applyProtection="0"/>
    <xf numFmtId="43" fontId="9" fillId="0" borderId="0" applyFont="0" applyFill="0" applyBorder="0" applyAlignment="0" applyProtection="0"/>
    <xf numFmtId="44" fontId="9" fillId="0" borderId="0" applyFont="0" applyFill="0" applyBorder="0" applyAlignment="0" applyProtection="0"/>
    <xf numFmtId="0" fontId="13" fillId="0" borderId="0" applyNumberFormat="0" applyFill="0" applyBorder="0" applyAlignment="0" applyProtection="0">
      <alignment vertical="top"/>
      <protection locked="0"/>
    </xf>
    <xf numFmtId="0" fontId="9" fillId="0" borderId="0"/>
    <xf numFmtId="0" fontId="9" fillId="0" borderId="0"/>
    <xf numFmtId="0" fontId="10" fillId="0" borderId="0"/>
    <xf numFmtId="0" fontId="9" fillId="0" borderId="0">
      <alignment readingOrder="1"/>
    </xf>
    <xf numFmtId="0" fontId="9" fillId="0" borderId="0"/>
    <xf numFmtId="0" fontId="10" fillId="0" borderId="0"/>
    <xf numFmtId="0" fontId="9" fillId="0" borderId="0"/>
    <xf numFmtId="0" fontId="9" fillId="0" borderId="0"/>
    <xf numFmtId="0" fontId="15" fillId="0" borderId="0"/>
    <xf numFmtId="44" fontId="15" fillId="0" borderId="0" applyFont="0" applyFill="0" applyBorder="0" applyAlignment="0" applyProtection="0"/>
    <xf numFmtId="9" fontId="15" fillId="0" borderId="0" applyFont="0" applyFill="0" applyBorder="0" applyAlignment="0" applyProtection="0"/>
    <xf numFmtId="43" fontId="15" fillId="0" borderId="0" applyFont="0" applyFill="0" applyBorder="0" applyAlignment="0" applyProtection="0"/>
    <xf numFmtId="0" fontId="9" fillId="0" borderId="0"/>
    <xf numFmtId="170" fontId="17" fillId="0" borderId="0"/>
    <xf numFmtId="169" fontId="17" fillId="0" borderId="0" applyFont="0" applyFill="0" applyBorder="0" applyAlignment="0" applyProtection="0"/>
    <xf numFmtId="4" fontId="17" fillId="0" borderId="0" applyFont="0" applyFill="0" applyBorder="0" applyAlignment="0" applyProtection="0"/>
    <xf numFmtId="171" fontId="17" fillId="0" borderId="0">
      <alignment horizontal="left"/>
    </xf>
    <xf numFmtId="172" fontId="17" fillId="0" borderId="0">
      <alignment horizontal="left"/>
    </xf>
    <xf numFmtId="173" fontId="17" fillId="0" borderId="0">
      <alignment horizontal="left"/>
    </xf>
    <xf numFmtId="174" fontId="17" fillId="0" borderId="0">
      <alignment horizontal="left"/>
    </xf>
    <xf numFmtId="0" fontId="17" fillId="0" borderId="0"/>
    <xf numFmtId="0" fontId="10" fillId="0" borderId="0"/>
    <xf numFmtId="9" fontId="9" fillId="0" borderId="0" applyFont="0" applyFill="0" applyBorder="0" applyAlignment="0" applyProtection="0"/>
    <xf numFmtId="9" fontId="10" fillId="0" borderId="0" applyFont="0" applyFill="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7" borderId="0" applyNumberFormat="0" applyBorder="0" applyAlignment="0" applyProtection="0"/>
    <xf numFmtId="0" fontId="10" fillId="17" borderId="0" applyNumberFormat="0" applyBorder="0" applyAlignment="0" applyProtection="0"/>
    <xf numFmtId="0" fontId="10" fillId="17" borderId="0" applyNumberFormat="0" applyBorder="0" applyAlignment="0" applyProtection="0"/>
    <xf numFmtId="0" fontId="10" fillId="17" borderId="0" applyNumberFormat="0" applyBorder="0" applyAlignment="0" applyProtection="0"/>
    <xf numFmtId="0" fontId="10" fillId="17" borderId="0" applyNumberFormat="0" applyBorder="0" applyAlignment="0" applyProtection="0"/>
    <xf numFmtId="0" fontId="10" fillId="17" borderId="0" applyNumberFormat="0" applyBorder="0" applyAlignment="0" applyProtection="0"/>
    <xf numFmtId="0" fontId="10" fillId="17" borderId="0" applyNumberFormat="0" applyBorder="0" applyAlignment="0" applyProtection="0"/>
    <xf numFmtId="0" fontId="10" fillId="17" borderId="0" applyNumberFormat="0" applyBorder="0" applyAlignment="0" applyProtection="0"/>
    <xf numFmtId="0" fontId="10" fillId="19" borderId="0" applyNumberFormat="0" applyBorder="0" applyAlignment="0" applyProtection="0"/>
    <xf numFmtId="0" fontId="10" fillId="19" borderId="0" applyNumberFormat="0" applyBorder="0" applyAlignment="0" applyProtection="0"/>
    <xf numFmtId="0" fontId="10" fillId="19" borderId="0" applyNumberFormat="0" applyBorder="0" applyAlignment="0" applyProtection="0"/>
    <xf numFmtId="0" fontId="10" fillId="19" borderId="0" applyNumberFormat="0" applyBorder="0" applyAlignment="0" applyProtection="0"/>
    <xf numFmtId="0" fontId="10" fillId="19" borderId="0" applyNumberFormat="0" applyBorder="0" applyAlignment="0" applyProtection="0"/>
    <xf numFmtId="0" fontId="10" fillId="19" borderId="0" applyNumberFormat="0" applyBorder="0" applyAlignment="0" applyProtection="0"/>
    <xf numFmtId="0" fontId="10" fillId="19" borderId="0" applyNumberFormat="0" applyBorder="0" applyAlignment="0" applyProtection="0"/>
    <xf numFmtId="0" fontId="10" fillId="19" borderId="0" applyNumberFormat="0" applyBorder="0" applyAlignment="0" applyProtection="0"/>
    <xf numFmtId="0" fontId="10" fillId="21" borderId="0" applyNumberFormat="0" applyBorder="0" applyAlignment="0" applyProtection="0"/>
    <xf numFmtId="0" fontId="10" fillId="21" borderId="0" applyNumberFormat="0" applyBorder="0" applyAlignment="0" applyProtection="0"/>
    <xf numFmtId="0" fontId="10" fillId="21" borderId="0" applyNumberFormat="0" applyBorder="0" applyAlignment="0" applyProtection="0"/>
    <xf numFmtId="0" fontId="10" fillId="21" borderId="0" applyNumberFormat="0" applyBorder="0" applyAlignment="0" applyProtection="0"/>
    <xf numFmtId="0" fontId="10" fillId="21" borderId="0" applyNumberFormat="0" applyBorder="0" applyAlignment="0" applyProtection="0"/>
    <xf numFmtId="0" fontId="10" fillId="21" borderId="0" applyNumberFormat="0" applyBorder="0" applyAlignment="0" applyProtection="0"/>
    <xf numFmtId="0" fontId="10" fillId="21" borderId="0" applyNumberFormat="0" applyBorder="0" applyAlignment="0" applyProtection="0"/>
    <xf numFmtId="0" fontId="10" fillId="21" borderId="0" applyNumberFormat="0" applyBorder="0" applyAlignment="0" applyProtection="0"/>
    <xf numFmtId="0" fontId="10" fillId="12" borderId="0" applyNumberFormat="0" applyBorder="0" applyAlignment="0" applyProtection="0"/>
    <xf numFmtId="0" fontId="10" fillId="12" borderId="0" applyNumberFormat="0" applyBorder="0" applyAlignment="0" applyProtection="0"/>
    <xf numFmtId="0" fontId="10" fillId="12" borderId="0" applyNumberFormat="0" applyBorder="0" applyAlignment="0" applyProtection="0"/>
    <xf numFmtId="0" fontId="10" fillId="12" borderId="0" applyNumberFormat="0" applyBorder="0" applyAlignment="0" applyProtection="0"/>
    <xf numFmtId="0" fontId="10" fillId="12" borderId="0" applyNumberFormat="0" applyBorder="0" applyAlignment="0" applyProtection="0"/>
    <xf numFmtId="0" fontId="10" fillId="12" borderId="0" applyNumberFormat="0" applyBorder="0" applyAlignment="0" applyProtection="0"/>
    <xf numFmtId="0" fontId="10" fillId="12" borderId="0" applyNumberFormat="0" applyBorder="0" applyAlignment="0" applyProtection="0"/>
    <xf numFmtId="0" fontId="10" fillId="12" borderId="0" applyNumberFormat="0" applyBorder="0" applyAlignment="0" applyProtection="0"/>
    <xf numFmtId="0" fontId="10" fillId="14" borderId="0" applyNumberFormat="0" applyBorder="0" applyAlignment="0" applyProtection="0"/>
    <xf numFmtId="0" fontId="10" fillId="14" borderId="0" applyNumberFormat="0" applyBorder="0" applyAlignment="0" applyProtection="0"/>
    <xf numFmtId="0" fontId="10" fillId="14" borderId="0" applyNumberFormat="0" applyBorder="0" applyAlignment="0" applyProtection="0"/>
    <xf numFmtId="0" fontId="10" fillId="14" borderId="0" applyNumberFormat="0" applyBorder="0" applyAlignment="0" applyProtection="0"/>
    <xf numFmtId="0" fontId="10" fillId="14" borderId="0" applyNumberFormat="0" applyBorder="0" applyAlignment="0" applyProtection="0"/>
    <xf numFmtId="0" fontId="10" fillId="14" borderId="0" applyNumberFormat="0" applyBorder="0" applyAlignment="0" applyProtection="0"/>
    <xf numFmtId="0" fontId="10" fillId="14" borderId="0" applyNumberFormat="0" applyBorder="0" applyAlignment="0" applyProtection="0"/>
    <xf numFmtId="0" fontId="10" fillId="14" borderId="0" applyNumberFormat="0" applyBorder="0" applyAlignment="0" applyProtection="0"/>
    <xf numFmtId="0" fontId="10" fillId="16" borderId="0" applyNumberFormat="0" applyBorder="0" applyAlignment="0" applyProtection="0"/>
    <xf numFmtId="0" fontId="10" fillId="16" borderId="0" applyNumberFormat="0" applyBorder="0" applyAlignment="0" applyProtection="0"/>
    <xf numFmtId="0" fontId="10" fillId="16" borderId="0" applyNumberFormat="0" applyBorder="0" applyAlignment="0" applyProtection="0"/>
    <xf numFmtId="0" fontId="10" fillId="16" borderId="0" applyNumberFormat="0" applyBorder="0" applyAlignment="0" applyProtection="0"/>
    <xf numFmtId="0" fontId="10" fillId="16" borderId="0" applyNumberFormat="0" applyBorder="0" applyAlignment="0" applyProtection="0"/>
    <xf numFmtId="0" fontId="10" fillId="16" borderId="0" applyNumberFormat="0" applyBorder="0" applyAlignment="0" applyProtection="0"/>
    <xf numFmtId="0" fontId="10" fillId="16" borderId="0" applyNumberFormat="0" applyBorder="0" applyAlignment="0" applyProtection="0"/>
    <xf numFmtId="0" fontId="10" fillId="16"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20" borderId="0" applyNumberFormat="0" applyBorder="0" applyAlignment="0" applyProtection="0"/>
    <xf numFmtId="0" fontId="10" fillId="20" borderId="0" applyNumberFormat="0" applyBorder="0" applyAlignment="0" applyProtection="0"/>
    <xf numFmtId="0" fontId="10" fillId="20" borderId="0" applyNumberFormat="0" applyBorder="0" applyAlignment="0" applyProtection="0"/>
    <xf numFmtId="0" fontId="10" fillId="20" borderId="0" applyNumberFormat="0" applyBorder="0" applyAlignment="0" applyProtection="0"/>
    <xf numFmtId="0" fontId="10" fillId="20" borderId="0" applyNumberFormat="0" applyBorder="0" applyAlignment="0" applyProtection="0"/>
    <xf numFmtId="0" fontId="10" fillId="20" borderId="0" applyNumberFormat="0" applyBorder="0" applyAlignment="0" applyProtection="0"/>
    <xf numFmtId="0" fontId="10" fillId="20" borderId="0" applyNumberFormat="0" applyBorder="0" applyAlignment="0" applyProtection="0"/>
    <xf numFmtId="0" fontId="10" fillId="20" borderId="0" applyNumberFormat="0" applyBorder="0" applyAlignment="0" applyProtection="0"/>
    <xf numFmtId="0" fontId="10" fillId="22" borderId="0" applyNumberFormat="0" applyBorder="0" applyAlignment="0" applyProtection="0"/>
    <xf numFmtId="0" fontId="10" fillId="22" borderId="0" applyNumberFormat="0" applyBorder="0" applyAlignment="0" applyProtection="0"/>
    <xf numFmtId="0" fontId="10" fillId="22" borderId="0" applyNumberFormat="0" applyBorder="0" applyAlignment="0" applyProtection="0"/>
    <xf numFmtId="0" fontId="10" fillId="22" borderId="0" applyNumberFormat="0" applyBorder="0" applyAlignment="0" applyProtection="0"/>
    <xf numFmtId="0" fontId="10" fillId="22" borderId="0" applyNumberFormat="0" applyBorder="0" applyAlignment="0" applyProtection="0"/>
    <xf numFmtId="0" fontId="10" fillId="22" borderId="0" applyNumberFormat="0" applyBorder="0" applyAlignment="0" applyProtection="0"/>
    <xf numFmtId="0" fontId="10" fillId="22" borderId="0" applyNumberFormat="0" applyBorder="0" applyAlignment="0" applyProtection="0"/>
    <xf numFmtId="0" fontId="10" fillId="22" borderId="0" applyNumberFormat="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4" fontId="9" fillId="0" borderId="0" applyFont="0" applyFill="0" applyBorder="0" applyAlignment="0" applyProtection="0"/>
    <xf numFmtId="44" fontId="9" fillId="0" borderId="0" applyFont="0" applyFill="0" applyBorder="0" applyAlignment="0" applyProtection="0"/>
    <xf numFmtId="44" fontId="9" fillId="0" borderId="0" applyFont="0" applyFill="0" applyBorder="0" applyAlignment="0" applyProtection="0"/>
    <xf numFmtId="44" fontId="9" fillId="0" borderId="0" applyFont="0" applyFill="0" applyBorder="0" applyAlignment="0" applyProtection="0"/>
    <xf numFmtId="0" fontId="13" fillId="0" borderId="0" applyNumberFormat="0" applyFill="0" applyBorder="0" applyAlignment="0" applyProtection="0">
      <alignment vertical="top"/>
      <protection locked="0"/>
    </xf>
    <xf numFmtId="0" fontId="9" fillId="0" borderId="0"/>
    <xf numFmtId="0" fontId="9" fillId="0" borderId="0"/>
    <xf numFmtId="0" fontId="9" fillId="0" borderId="0"/>
    <xf numFmtId="0" fontId="9"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9" fillId="0" borderId="0"/>
    <xf numFmtId="0" fontId="9" fillId="0" borderId="0"/>
    <xf numFmtId="0" fontId="9" fillId="0" borderId="0"/>
    <xf numFmtId="0" fontId="10" fillId="10" borderId="32" applyNumberFormat="0" applyFont="0" applyAlignment="0" applyProtection="0"/>
    <xf numFmtId="0" fontId="10" fillId="10" borderId="32" applyNumberFormat="0" applyFont="0" applyAlignment="0" applyProtection="0"/>
    <xf numFmtId="0" fontId="10" fillId="10" borderId="32" applyNumberFormat="0" applyFont="0" applyAlignment="0" applyProtection="0"/>
    <xf numFmtId="0" fontId="10" fillId="10" borderId="32" applyNumberFormat="0" applyFont="0" applyAlignment="0" applyProtection="0"/>
    <xf numFmtId="0" fontId="10" fillId="10" borderId="32" applyNumberFormat="0" applyFont="0" applyAlignment="0" applyProtection="0"/>
    <xf numFmtId="0" fontId="10" fillId="10" borderId="32" applyNumberFormat="0" applyFont="0" applyAlignment="0" applyProtection="0"/>
    <xf numFmtId="0" fontId="10" fillId="10" borderId="32" applyNumberFormat="0" applyFont="0" applyAlignment="0" applyProtection="0"/>
    <xf numFmtId="0" fontId="10" fillId="10" borderId="32" applyNumberFormat="0" applyFont="0" applyAlignment="0" applyProtection="0"/>
    <xf numFmtId="0" fontId="10" fillId="10" borderId="32" applyNumberFormat="0" applyFont="0" applyAlignment="0" applyProtection="0"/>
    <xf numFmtId="0" fontId="23" fillId="0" borderId="0" applyNumberFormat="0" applyFill="0" applyBorder="0" applyAlignment="0" applyProtection="0"/>
    <xf numFmtId="44" fontId="10" fillId="0" borderId="0" applyFont="0" applyFill="0" applyBorder="0" applyAlignment="0" applyProtection="0"/>
    <xf numFmtId="43" fontId="10" fillId="0" borderId="0" applyFont="0" applyFill="0" applyBorder="0" applyAlignment="0" applyProtection="0"/>
    <xf numFmtId="0" fontId="9" fillId="0" borderId="0"/>
    <xf numFmtId="44" fontId="9" fillId="0" borderId="0" applyFont="0" applyFill="0" applyBorder="0" applyAlignment="0" applyProtection="0"/>
    <xf numFmtId="9" fontId="9" fillId="0" borderId="0" applyFont="0" applyFill="0" applyBorder="0" applyAlignment="0" applyProtection="0"/>
    <xf numFmtId="43" fontId="9" fillId="0" borderId="0" applyFont="0" applyFill="0" applyBorder="0" applyAlignment="0" applyProtection="0"/>
    <xf numFmtId="43" fontId="12" fillId="0" borderId="0" applyFont="0" applyFill="0" applyBorder="0" applyAlignment="0" applyProtection="0"/>
    <xf numFmtId="0" fontId="39" fillId="0" borderId="0" applyNumberFormat="0" applyFill="0" applyBorder="0" applyAlignment="0" applyProtection="0">
      <alignment vertical="top"/>
      <protection locked="0"/>
    </xf>
    <xf numFmtId="0" fontId="12" fillId="0" borderId="0"/>
  </cellStyleXfs>
  <cellXfs count="471">
    <xf numFmtId="0" fontId="0" fillId="0" borderId="0" xfId="0"/>
    <xf numFmtId="0" fontId="0" fillId="0" borderId="0" xfId="0" quotePrefix="1"/>
    <xf numFmtId="0" fontId="0" fillId="0" borderId="0" xfId="0" applyFont="1"/>
    <xf numFmtId="0" fontId="3" fillId="0" borderId="0" xfId="0" applyFont="1" applyFill="1" applyBorder="1"/>
    <xf numFmtId="0" fontId="3" fillId="0" borderId="0" xfId="0" applyFont="1" applyFill="1" applyBorder="1" applyAlignment="1">
      <alignment horizontal="center"/>
    </xf>
    <xf numFmtId="0" fontId="2" fillId="0" borderId="0" xfId="0" applyFont="1"/>
    <xf numFmtId="164" fontId="0" fillId="0" borderId="0" xfId="0" applyNumberFormat="1"/>
    <xf numFmtId="2" fontId="0" fillId="0" borderId="0" xfId="0" applyNumberFormat="1" applyFont="1"/>
    <xf numFmtId="0" fontId="0" fillId="0" borderId="0" xfId="0" applyFont="1" applyBorder="1"/>
    <xf numFmtId="0" fontId="0" fillId="0" borderId="1" xfId="0" applyBorder="1"/>
    <xf numFmtId="0" fontId="5" fillId="0" borderId="0" xfId="0" applyFont="1"/>
    <xf numFmtId="0" fontId="0" fillId="0" borderId="1" xfId="0" applyBorder="1" applyAlignment="1">
      <alignment wrapText="1"/>
    </xf>
    <xf numFmtId="0" fontId="0" fillId="0" borderId="1" xfId="0" applyNumberFormat="1" applyBorder="1"/>
    <xf numFmtId="49" fontId="0" fillId="0" borderId="1" xfId="0" applyNumberFormat="1" applyBorder="1"/>
    <xf numFmtId="0" fontId="0" fillId="0" borderId="1" xfId="0" applyNumberFormat="1" applyFill="1" applyBorder="1"/>
    <xf numFmtId="49" fontId="0" fillId="0" borderId="1" xfId="0" applyNumberFormat="1" applyBorder="1" applyAlignment="1">
      <alignment wrapText="1"/>
    </xf>
    <xf numFmtId="0" fontId="0" fillId="0" borderId="1" xfId="0" quotePrefix="1" applyBorder="1" applyAlignment="1">
      <alignment wrapText="1"/>
    </xf>
    <xf numFmtId="0" fontId="1" fillId="0" borderId="0" xfId="0" applyFont="1"/>
    <xf numFmtId="0" fontId="0" fillId="0" borderId="3" xfId="0" applyFont="1" applyBorder="1"/>
    <xf numFmtId="0" fontId="0" fillId="0" borderId="4" xfId="0" applyFont="1" applyBorder="1"/>
    <xf numFmtId="164" fontId="0" fillId="0" borderId="5" xfId="0" applyNumberFormat="1" applyFont="1" applyBorder="1"/>
    <xf numFmtId="0" fontId="0" fillId="0" borderId="6" xfId="0" applyFont="1" applyBorder="1"/>
    <xf numFmtId="0" fontId="0" fillId="0" borderId="7" xfId="0" applyFont="1" applyBorder="1"/>
    <xf numFmtId="0" fontId="0" fillId="0" borderId="0" xfId="0" applyFont="1" applyFill="1" applyBorder="1"/>
    <xf numFmtId="0" fontId="7" fillId="2" borderId="0" xfId="0" applyFont="1" applyFill="1" applyAlignment="1" applyProtection="1">
      <alignment horizontal="center" wrapText="1"/>
    </xf>
    <xf numFmtId="0" fontId="0" fillId="0" borderId="0" xfId="0" applyProtection="1"/>
    <xf numFmtId="0" fontId="0" fillId="0" borderId="0" xfId="0" applyFill="1" applyProtection="1"/>
    <xf numFmtId="0" fontId="8" fillId="0" borderId="8" xfId="0" applyFont="1" applyFill="1" applyBorder="1" applyAlignment="1" applyProtection="1">
      <alignment horizontal="right" wrapText="1"/>
    </xf>
    <xf numFmtId="0" fontId="0" fillId="0" borderId="8" xfId="0" applyFill="1" applyBorder="1" applyProtection="1"/>
    <xf numFmtId="0" fontId="8" fillId="0" borderId="0" xfId="0" applyFont="1" applyFill="1" applyAlignment="1" applyProtection="1">
      <alignment horizontal="right" wrapText="1"/>
    </xf>
    <xf numFmtId="1" fontId="9" fillId="0" borderId="0" xfId="0" applyNumberFormat="1" applyFont="1" applyFill="1" applyAlignment="1" applyProtection="1">
      <alignment horizontal="left"/>
    </xf>
    <xf numFmtId="0" fontId="0" fillId="0" borderId="0" xfId="0" applyFont="1" applyAlignment="1"/>
    <xf numFmtId="0" fontId="0" fillId="0" borderId="0" xfId="0" applyBorder="1"/>
    <xf numFmtId="0" fontId="0" fillId="0" borderId="0" xfId="0" applyBorder="1" applyAlignment="1"/>
    <xf numFmtId="0" fontId="0" fillId="0" borderId="0" xfId="0" applyFont="1" applyBorder="1" applyAlignment="1">
      <alignment horizontal="left"/>
    </xf>
    <xf numFmtId="0" fontId="6" fillId="0" borderId="0" xfId="0" applyFont="1" applyBorder="1" applyAlignment="1">
      <alignment horizontal="center" vertical="center" wrapText="1"/>
    </xf>
    <xf numFmtId="0" fontId="6" fillId="0" borderId="11" xfId="0" applyFont="1" applyBorder="1" applyAlignment="1">
      <alignment vertical="center" wrapText="1"/>
    </xf>
    <xf numFmtId="0" fontId="14" fillId="5" borderId="1" xfId="0" applyFont="1" applyFill="1" applyBorder="1" applyAlignment="1">
      <alignment horizontal="left" wrapText="1"/>
    </xf>
    <xf numFmtId="0" fontId="14" fillId="5" borderId="1" xfId="0" applyFont="1" applyFill="1" applyBorder="1" applyAlignment="1">
      <alignment wrapText="1"/>
    </xf>
    <xf numFmtId="14" fontId="14" fillId="5" borderId="1" xfId="0" applyNumberFormat="1" applyFont="1" applyFill="1" applyBorder="1" applyAlignment="1">
      <alignment horizontal="left" wrapText="1"/>
    </xf>
    <xf numFmtId="0" fontId="11" fillId="0" borderId="0" xfId="0" applyFont="1" applyFill="1" applyBorder="1" applyAlignment="1">
      <alignment horizontal="center"/>
    </xf>
    <xf numFmtId="0" fontId="11" fillId="0" borderId="0" xfId="0" applyFont="1" applyFill="1" applyBorder="1"/>
    <xf numFmtId="9" fontId="11" fillId="0" borderId="0" xfId="0" applyNumberFormat="1" applyFont="1" applyFill="1" applyBorder="1" applyAlignment="1">
      <alignment horizontal="center"/>
    </xf>
    <xf numFmtId="43" fontId="11" fillId="0" borderId="0" xfId="2" applyFont="1" applyFill="1" applyBorder="1" applyAlignment="1">
      <alignment horizontal="center"/>
    </xf>
    <xf numFmtId="43" fontId="11" fillId="0" borderId="0" xfId="3" applyFont="1" applyFill="1" applyBorder="1" applyAlignment="1">
      <alignment horizontal="center"/>
    </xf>
    <xf numFmtId="43" fontId="11" fillId="0" borderId="0" xfId="3" applyNumberFormat="1" applyFont="1" applyFill="1" applyBorder="1" applyAlignment="1">
      <alignment horizontal="center"/>
    </xf>
    <xf numFmtId="0" fontId="0" fillId="0" borderId="0" xfId="0" applyFont="1" applyFill="1" applyBorder="1" applyAlignment="1">
      <alignment horizontal="center"/>
    </xf>
    <xf numFmtId="0" fontId="15" fillId="0" borderId="0" xfId="17"/>
    <xf numFmtId="0" fontId="16" fillId="7" borderId="0" xfId="17" applyFont="1" applyFill="1" applyAlignment="1" applyProtection="1">
      <alignment horizontal="center"/>
      <protection locked="0"/>
    </xf>
    <xf numFmtId="0" fontId="15" fillId="0" borderId="0" xfId="17" applyBorder="1" applyAlignment="1" applyProtection="1">
      <alignment horizontal="center"/>
      <protection locked="0"/>
    </xf>
    <xf numFmtId="2" fontId="15" fillId="0" borderId="0" xfId="17" applyNumberFormat="1" applyBorder="1" applyAlignment="1" applyProtection="1">
      <alignment horizontal="center"/>
      <protection locked="0"/>
    </xf>
    <xf numFmtId="0" fontId="15" fillId="9" borderId="0" xfId="17" applyFill="1"/>
    <xf numFmtId="0" fontId="15" fillId="8" borderId="0" xfId="17" applyFill="1"/>
    <xf numFmtId="0" fontId="18" fillId="8" borderId="0" xfId="17" applyFont="1" applyFill="1" applyAlignment="1">
      <alignment horizontal="left"/>
    </xf>
    <xf numFmtId="0" fontId="19" fillId="8" borderId="0" xfId="17" applyFont="1" applyFill="1"/>
    <xf numFmtId="0" fontId="20" fillId="0" borderId="0" xfId="17" applyFont="1" applyAlignment="1">
      <alignment vertical="top" wrapText="1"/>
    </xf>
    <xf numFmtId="0" fontId="21" fillId="0" borderId="0" xfId="1" applyFont="1" applyProtection="1"/>
    <xf numFmtId="14" fontId="21" fillId="0" borderId="0" xfId="1" applyNumberFormat="1" applyFont="1" applyAlignment="1" applyProtection="1">
      <alignment horizontal="right"/>
    </xf>
    <xf numFmtId="0" fontId="15" fillId="9" borderId="0" xfId="17" applyFill="1" applyBorder="1" applyProtection="1"/>
    <xf numFmtId="0" fontId="0" fillId="0" borderId="0" xfId="0" applyAlignment="1">
      <alignment horizontal="left"/>
    </xf>
    <xf numFmtId="0" fontId="9" fillId="0" borderId="0" xfId="9"/>
    <xf numFmtId="1" fontId="0" fillId="0" borderId="0" xfId="0" applyNumberFormat="1" applyFont="1"/>
    <xf numFmtId="0" fontId="0" fillId="0" borderId="26" xfId="0" applyBorder="1"/>
    <xf numFmtId="0" fontId="0" fillId="0" borderId="2" xfId="0" applyBorder="1"/>
    <xf numFmtId="2" fontId="25" fillId="24" borderId="0" xfId="0" applyNumberFormat="1" applyFont="1" applyFill="1"/>
    <xf numFmtId="165" fontId="25" fillId="0" borderId="0" xfId="0" applyNumberFormat="1" applyFont="1"/>
    <xf numFmtId="0" fontId="26" fillId="0" borderId="0" xfId="0" applyFont="1"/>
    <xf numFmtId="37" fontId="0" fillId="0" borderId="0" xfId="168" applyNumberFormat="1" applyFont="1" applyAlignment="1">
      <alignment horizontal="center"/>
    </xf>
    <xf numFmtId="0" fontId="27" fillId="0" borderId="0" xfId="0" applyFont="1"/>
    <xf numFmtId="0" fontId="2" fillId="0" borderId="3" xfId="0" applyFont="1" applyBorder="1"/>
    <xf numFmtId="0" fontId="2" fillId="0" borderId="25" xfId="0" applyFont="1" applyBorder="1"/>
    <xf numFmtId="0" fontId="2" fillId="0" borderId="5" xfId="0" applyFont="1" applyBorder="1"/>
    <xf numFmtId="0" fontId="2" fillId="0" borderId="0" xfId="0" applyFont="1" applyBorder="1"/>
    <xf numFmtId="0" fontId="2" fillId="0" borderId="5" xfId="0" applyFont="1" applyFill="1" applyBorder="1"/>
    <xf numFmtId="0" fontId="2" fillId="0" borderId="37" xfId="0" applyFont="1" applyBorder="1"/>
    <xf numFmtId="0" fontId="2" fillId="0" borderId="27" xfId="0" applyFont="1" applyBorder="1"/>
    <xf numFmtId="0" fontId="0" fillId="0" borderId="7" xfId="0" applyBorder="1"/>
    <xf numFmtId="0" fontId="29" fillId="0" borderId="0" xfId="0" applyFont="1" applyBorder="1" applyAlignment="1"/>
    <xf numFmtId="0" fontId="2" fillId="0" borderId="0" xfId="0" applyFont="1" applyBorder="1" applyAlignment="1">
      <alignment horizontal="left"/>
    </xf>
    <xf numFmtId="0" fontId="2" fillId="0" borderId="0" xfId="0" applyFont="1" applyBorder="1" applyAlignment="1">
      <alignment horizontal="center"/>
    </xf>
    <xf numFmtId="0" fontId="31" fillId="0" borderId="0" xfId="0" applyFont="1"/>
    <xf numFmtId="0" fontId="24" fillId="0" borderId="0" xfId="0" applyFont="1"/>
    <xf numFmtId="176" fontId="0" fillId="0" borderId="0" xfId="32" applyNumberFormat="1" applyFont="1"/>
    <xf numFmtId="0" fontId="32" fillId="0" borderId="0" xfId="0" applyFont="1"/>
    <xf numFmtId="0" fontId="19" fillId="8" borderId="28" xfId="17" applyFont="1" applyFill="1" applyBorder="1"/>
    <xf numFmtId="0" fontId="20" fillId="0" borderId="18" xfId="17" applyFont="1" applyBorder="1" applyAlignment="1">
      <alignment vertical="top" wrapText="1"/>
    </xf>
    <xf numFmtId="0" fontId="33" fillId="0" borderId="18" xfId="17" applyFont="1" applyBorder="1" applyAlignment="1">
      <alignment horizontal="center" vertical="top" wrapText="1"/>
    </xf>
    <xf numFmtId="0" fontId="19" fillId="8" borderId="33" xfId="17" applyFont="1" applyFill="1" applyBorder="1"/>
    <xf numFmtId="0" fontId="29" fillId="0" borderId="0" xfId="0" applyFont="1"/>
    <xf numFmtId="0" fontId="37" fillId="0" borderId="0" xfId="0" applyFont="1"/>
    <xf numFmtId="0" fontId="1" fillId="0" borderId="0" xfId="0" applyFont="1" applyAlignment="1">
      <alignment horizontal="right"/>
    </xf>
    <xf numFmtId="3" fontId="0" fillId="0" borderId="0" xfId="0" applyNumberFormat="1"/>
    <xf numFmtId="2" fontId="0" fillId="0" borderId="0" xfId="0" applyNumberFormat="1"/>
    <xf numFmtId="44" fontId="0" fillId="0" borderId="0" xfId="167" applyFont="1"/>
    <xf numFmtId="0" fontId="4" fillId="32" borderId="0" xfId="0" applyFont="1" applyFill="1"/>
    <xf numFmtId="0" fontId="0" fillId="32" borderId="0" xfId="0" applyFill="1"/>
    <xf numFmtId="0" fontId="9" fillId="0" borderId="0" xfId="9" applyAlignment="1">
      <alignment wrapText="1"/>
    </xf>
    <xf numFmtId="2" fontId="9" fillId="0" borderId="0" xfId="9" applyNumberFormat="1"/>
    <xf numFmtId="49" fontId="9" fillId="0" borderId="0" xfId="9" applyNumberFormat="1"/>
    <xf numFmtId="2" fontId="9" fillId="0" borderId="0" xfId="9" applyNumberFormat="1" applyFill="1"/>
    <xf numFmtId="49" fontId="9" fillId="0" borderId="0" xfId="9" applyNumberFormat="1" applyFill="1"/>
    <xf numFmtId="0" fontId="9" fillId="9" borderId="0" xfId="9" applyFill="1"/>
    <xf numFmtId="49" fontId="9" fillId="9" borderId="0" xfId="9" applyNumberFormat="1" applyFill="1"/>
    <xf numFmtId="166" fontId="9" fillId="9" borderId="0" xfId="9" applyNumberFormat="1" applyFill="1"/>
    <xf numFmtId="2" fontId="9" fillId="9" borderId="0" xfId="9" applyNumberFormat="1" applyFill="1"/>
    <xf numFmtId="166" fontId="9" fillId="0" borderId="0" xfId="9" applyNumberFormat="1"/>
    <xf numFmtId="166" fontId="9" fillId="0" borderId="0" xfId="9" applyNumberFormat="1" applyFill="1"/>
    <xf numFmtId="0" fontId="9" fillId="33" borderId="0" xfId="9" applyFill="1" applyAlignment="1">
      <alignment wrapText="1"/>
    </xf>
    <xf numFmtId="0" fontId="9" fillId="23" borderId="0" xfId="9" applyFill="1" applyAlignment="1">
      <alignment wrapText="1"/>
    </xf>
    <xf numFmtId="0" fontId="9" fillId="23" borderId="0" xfId="9" applyFont="1" applyFill="1" applyAlignment="1">
      <alignment wrapText="1"/>
    </xf>
    <xf numFmtId="0" fontId="11" fillId="23" borderId="28" xfId="9" applyFont="1" applyFill="1" applyBorder="1" applyAlignment="1">
      <alignment horizontal="center" wrapText="1"/>
    </xf>
    <xf numFmtId="0" fontId="11" fillId="23" borderId="15" xfId="9" applyFont="1" applyFill="1" applyBorder="1" applyAlignment="1" applyProtection="1">
      <alignment wrapText="1"/>
    </xf>
    <xf numFmtId="49" fontId="9" fillId="33" borderId="0" xfId="9" applyNumberFormat="1" applyFill="1" applyAlignment="1">
      <alignment wrapText="1"/>
    </xf>
    <xf numFmtId="166" fontId="9" fillId="23" borderId="0" xfId="9" applyNumberFormat="1" applyFill="1" applyAlignment="1">
      <alignment wrapText="1"/>
    </xf>
    <xf numFmtId="166" fontId="9" fillId="33" borderId="0" xfId="9" applyNumberFormat="1" applyFill="1" applyAlignment="1">
      <alignment wrapText="1"/>
    </xf>
    <xf numFmtId="2" fontId="9" fillId="23" borderId="0" xfId="9" applyNumberFormat="1" applyFill="1" applyAlignment="1">
      <alignment wrapText="1"/>
    </xf>
    <xf numFmtId="2" fontId="9" fillId="33" borderId="0" xfId="9" applyNumberFormat="1" applyFill="1" applyAlignment="1">
      <alignment wrapText="1"/>
    </xf>
    <xf numFmtId="167" fontId="0" fillId="0" borderId="0" xfId="0" applyNumberFormat="1"/>
    <xf numFmtId="37" fontId="0" fillId="0" borderId="0" xfId="0" applyNumberFormat="1"/>
    <xf numFmtId="0" fontId="0" fillId="0" borderId="0" xfId="0"/>
    <xf numFmtId="0" fontId="9" fillId="0" borderId="0" xfId="9"/>
    <xf numFmtId="3" fontId="0" fillId="0" borderId="0" xfId="0" applyNumberFormat="1"/>
    <xf numFmtId="2" fontId="0" fillId="0" borderId="0" xfId="0" applyNumberFormat="1"/>
    <xf numFmtId="0" fontId="22" fillId="0" borderId="0" xfId="9" applyFont="1"/>
    <xf numFmtId="0" fontId="9" fillId="0" borderId="0" xfId="9"/>
    <xf numFmtId="2" fontId="0" fillId="0" borderId="0" xfId="0" applyNumberFormat="1"/>
    <xf numFmtId="0" fontId="0" fillId="0" borderId="0" xfId="0" applyFill="1" applyBorder="1" applyAlignment="1">
      <alignment horizontal="center"/>
    </xf>
    <xf numFmtId="0" fontId="9" fillId="27" borderId="0" xfId="9" applyFill="1" applyAlignment="1">
      <alignment wrapText="1"/>
    </xf>
    <xf numFmtId="2" fontId="0" fillId="0" borderId="0" xfId="167" applyNumberFormat="1" applyFont="1"/>
    <xf numFmtId="49" fontId="9" fillId="27" borderId="0" xfId="9" applyNumberFormat="1" applyFill="1" applyAlignment="1">
      <alignment wrapText="1"/>
    </xf>
    <xf numFmtId="2" fontId="9" fillId="27" borderId="0" xfId="9" applyNumberFormat="1" applyFill="1" applyAlignment="1">
      <alignment wrapText="1"/>
    </xf>
    <xf numFmtId="166" fontId="9" fillId="27" borderId="0" xfId="9" applyNumberFormat="1" applyFill="1" applyAlignment="1">
      <alignment wrapText="1"/>
    </xf>
    <xf numFmtId="4" fontId="0" fillId="0" borderId="0" xfId="0" applyNumberFormat="1"/>
    <xf numFmtId="2" fontId="9" fillId="0" borderId="0" xfId="7" applyNumberFormat="1" applyFont="1" applyFill="1"/>
    <xf numFmtId="44" fontId="9" fillId="0" borderId="0" xfId="7" applyFont="1" applyFill="1"/>
    <xf numFmtId="44" fontId="9" fillId="0" borderId="0" xfId="7" applyFont="1" applyFill="1"/>
    <xf numFmtId="2" fontId="9" fillId="0" borderId="0" xfId="9" applyNumberFormat="1"/>
    <xf numFmtId="14" fontId="0" fillId="0" borderId="0" xfId="0" applyNumberFormat="1"/>
    <xf numFmtId="0" fontId="2" fillId="0" borderId="0" xfId="0" applyFont="1" applyAlignment="1">
      <alignment vertical="top"/>
    </xf>
    <xf numFmtId="0" fontId="0" fillId="0" borderId="0" xfId="0" applyAlignment="1">
      <alignment wrapText="1"/>
    </xf>
    <xf numFmtId="0" fontId="0" fillId="0" borderId="0" xfId="0" applyAlignment="1"/>
    <xf numFmtId="0" fontId="25" fillId="0" borderId="0" xfId="0" applyFont="1" applyBorder="1"/>
    <xf numFmtId="1" fontId="25" fillId="0" borderId="0" xfId="0" applyNumberFormat="1" applyFont="1" applyBorder="1"/>
    <xf numFmtId="165" fontId="25" fillId="0" borderId="0" xfId="0" applyNumberFormat="1" applyFont="1" applyBorder="1"/>
    <xf numFmtId="0" fontId="25" fillId="0" borderId="0" xfId="0" applyFont="1" applyBorder="1" applyAlignment="1"/>
    <xf numFmtId="0" fontId="0" fillId="0" borderId="0" xfId="0" applyFont="1" applyFill="1" applyBorder="1" applyAlignment="1" applyProtection="1">
      <alignment horizontal="center"/>
    </xf>
    <xf numFmtId="0" fontId="2" fillId="0" borderId="43" xfId="0" applyFont="1" applyFill="1" applyBorder="1"/>
    <xf numFmtId="0" fontId="0" fillId="0" borderId="0" xfId="0" applyAlignment="1">
      <alignment vertical="top"/>
    </xf>
    <xf numFmtId="0" fontId="41" fillId="0" borderId="0" xfId="0" applyFont="1" applyProtection="1"/>
    <xf numFmtId="4" fontId="0" fillId="0" borderId="29" xfId="168" applyNumberFormat="1" applyFont="1" applyFill="1" applyBorder="1" applyAlignment="1">
      <alignment vertical="center"/>
    </xf>
    <xf numFmtId="0" fontId="4" fillId="0" borderId="29" xfId="0" applyFont="1" applyFill="1" applyBorder="1" applyAlignment="1"/>
    <xf numFmtId="4" fontId="0" fillId="0" borderId="29" xfId="168" applyNumberFormat="1" applyFont="1" applyFill="1" applyBorder="1" applyAlignment="1" applyProtection="1">
      <alignment vertical="center"/>
      <protection locked="0"/>
    </xf>
    <xf numFmtId="0" fontId="2" fillId="0" borderId="45" xfId="0" applyFont="1" applyBorder="1" applyAlignment="1">
      <alignment horizontal="left"/>
    </xf>
    <xf numFmtId="0" fontId="0" fillId="0" borderId="44" xfId="0" applyBorder="1" applyAlignment="1">
      <alignment horizontal="left"/>
    </xf>
    <xf numFmtId="0" fontId="3" fillId="0" borderId="0" xfId="0" applyFont="1" applyFill="1" applyBorder="1" applyAlignment="1">
      <alignment horizontal="left"/>
    </xf>
    <xf numFmtId="0" fontId="0" fillId="0" borderId="6" xfId="0" applyBorder="1" applyAlignment="1">
      <alignment horizontal="left"/>
    </xf>
    <xf numFmtId="0" fontId="0" fillId="0" borderId="46" xfId="0" applyBorder="1" applyAlignment="1">
      <alignment horizontal="left"/>
    </xf>
    <xf numFmtId="0" fontId="25" fillId="0" borderId="0" xfId="0" applyFont="1"/>
    <xf numFmtId="165" fontId="9" fillId="0" borderId="0" xfId="9" applyNumberFormat="1"/>
    <xf numFmtId="165" fontId="0" fillId="0" borderId="0" xfId="0" applyNumberFormat="1"/>
    <xf numFmtId="9" fontId="25" fillId="0" borderId="0" xfId="32" applyFont="1"/>
    <xf numFmtId="0" fontId="0" fillId="0" borderId="0" xfId="0" applyFont="1" applyProtection="1"/>
    <xf numFmtId="0" fontId="2" fillId="0" borderId="33" xfId="0" applyFont="1" applyBorder="1" applyAlignment="1">
      <alignment horizontal="left"/>
    </xf>
    <xf numFmtId="0" fontId="0" fillId="24" borderId="47" xfId="0" applyFont="1" applyFill="1" applyBorder="1" applyAlignment="1" applyProtection="1">
      <alignment horizontal="center"/>
      <protection locked="0"/>
    </xf>
    <xf numFmtId="0" fontId="0" fillId="24" borderId="48" xfId="0" applyFont="1" applyFill="1" applyBorder="1" applyAlignment="1" applyProtection="1">
      <alignment horizontal="center"/>
      <protection locked="0"/>
    </xf>
    <xf numFmtId="0" fontId="0" fillId="24" borderId="49" xfId="0" applyFont="1" applyFill="1" applyBorder="1" applyAlignment="1" applyProtection="1">
      <alignment horizontal="center"/>
      <protection locked="0"/>
    </xf>
    <xf numFmtId="0" fontId="0" fillId="0" borderId="47" xfId="0" applyBorder="1" applyAlignment="1" applyProtection="1">
      <alignment horizontal="center"/>
      <protection locked="0"/>
    </xf>
    <xf numFmtId="0" fontId="0" fillId="0" borderId="48" xfId="0" applyBorder="1" applyAlignment="1" applyProtection="1">
      <alignment horizontal="center"/>
      <protection locked="0"/>
    </xf>
    <xf numFmtId="0" fontId="0" fillId="0" borderId="49" xfId="0" applyBorder="1" applyAlignment="1" applyProtection="1">
      <alignment horizontal="center"/>
      <protection locked="0"/>
    </xf>
    <xf numFmtId="0" fontId="0" fillId="0" borderId="44" xfId="0" applyFont="1" applyFill="1" applyBorder="1" applyAlignment="1" applyProtection="1">
      <alignment horizontal="center"/>
      <protection locked="0"/>
    </xf>
    <xf numFmtId="0" fontId="0" fillId="0" borderId="45" xfId="0" applyFont="1" applyFill="1" applyBorder="1" applyAlignment="1" applyProtection="1">
      <alignment horizontal="center"/>
      <protection locked="0"/>
    </xf>
    <xf numFmtId="0" fontId="0" fillId="0" borderId="46" xfId="0" applyFont="1" applyFill="1" applyBorder="1" applyAlignment="1" applyProtection="1">
      <alignment horizontal="center"/>
      <protection locked="0"/>
    </xf>
    <xf numFmtId="0" fontId="0" fillId="0" borderId="33" xfId="0" applyFont="1" applyFill="1" applyBorder="1" applyAlignment="1" applyProtection="1">
      <alignment horizontal="center"/>
      <protection locked="0"/>
    </xf>
    <xf numFmtId="0" fontId="23" fillId="0" borderId="33" xfId="166" applyFill="1" applyBorder="1" applyAlignment="1" applyProtection="1">
      <alignment horizontal="center"/>
      <protection locked="0"/>
    </xf>
    <xf numFmtId="168" fontId="0" fillId="0" borderId="33" xfId="0" applyNumberFormat="1" applyFont="1" applyFill="1" applyBorder="1" applyAlignment="1" applyProtection="1">
      <alignment horizontal="center"/>
      <protection locked="0"/>
    </xf>
    <xf numFmtId="14" fontId="0" fillId="0" borderId="33" xfId="0" applyNumberFormat="1" applyFont="1" applyFill="1" applyBorder="1" applyAlignment="1" applyProtection="1">
      <alignment horizontal="center"/>
      <protection locked="0"/>
    </xf>
    <xf numFmtId="0" fontId="29" fillId="3" borderId="1" xfId="0" applyFont="1" applyFill="1" applyBorder="1" applyAlignment="1">
      <alignment horizontal="center" wrapText="1"/>
    </xf>
    <xf numFmtId="44" fontId="0" fillId="26" borderId="38" xfId="168" applyNumberFormat="1" applyFont="1" applyFill="1" applyBorder="1" applyAlignment="1">
      <alignment horizontal="center"/>
    </xf>
    <xf numFmtId="44" fontId="0" fillId="26" borderId="41" xfId="168" applyNumberFormat="1" applyFont="1" applyFill="1" applyBorder="1" applyAlignment="1">
      <alignment horizontal="center"/>
    </xf>
    <xf numFmtId="44" fontId="0" fillId="26" borderId="42" xfId="168" applyNumberFormat="1" applyFont="1" applyFill="1" applyBorder="1" applyAlignment="1">
      <alignment horizontal="center"/>
    </xf>
    <xf numFmtId="0" fontId="24" fillId="0" borderId="0" xfId="0" applyFont="1" applyBorder="1" applyAlignment="1">
      <alignment horizontal="left" vertical="top" wrapText="1"/>
    </xf>
    <xf numFmtId="0" fontId="24" fillId="0" borderId="26" xfId="0" applyFont="1" applyBorder="1" applyAlignment="1">
      <alignment horizontal="left" vertical="top" wrapText="1"/>
    </xf>
    <xf numFmtId="37" fontId="0" fillId="26" borderId="1" xfId="168" applyNumberFormat="1" applyFont="1" applyFill="1" applyBorder="1" applyAlignment="1">
      <alignment horizontal="center"/>
    </xf>
    <xf numFmtId="0" fontId="0" fillId="4" borderId="33" xfId="0" applyFill="1" applyBorder="1" applyAlignment="1">
      <alignment horizontal="left"/>
    </xf>
    <xf numFmtId="0" fontId="2" fillId="3" borderId="33" xfId="0" applyFont="1" applyFill="1" applyBorder="1" applyAlignment="1">
      <alignment horizontal="center"/>
    </xf>
    <xf numFmtId="44" fontId="0" fillId="26" borderId="1" xfId="168" applyNumberFormat="1" applyFont="1" applyFill="1" applyBorder="1" applyAlignment="1">
      <alignment horizontal="center"/>
    </xf>
    <xf numFmtId="0" fontId="40" fillId="0" borderId="5" xfId="0" applyFont="1" applyBorder="1" applyAlignment="1">
      <alignment horizontal="left" vertical="center" wrapText="1"/>
    </xf>
    <xf numFmtId="0" fontId="40" fillId="0" borderId="0" xfId="0" applyFont="1" applyBorder="1" applyAlignment="1">
      <alignment horizontal="left" vertical="center" wrapText="1"/>
    </xf>
    <xf numFmtId="3" fontId="0" fillId="26" borderId="1" xfId="168" applyNumberFormat="1" applyFont="1" applyFill="1" applyBorder="1" applyAlignment="1">
      <alignment horizontal="center"/>
    </xf>
    <xf numFmtId="167" fontId="24" fillId="25" borderId="1" xfId="167" applyNumberFormat="1" applyFont="1" applyFill="1" applyBorder="1" applyAlignment="1">
      <alignment horizontal="center"/>
    </xf>
    <xf numFmtId="167" fontId="24" fillId="25" borderId="38" xfId="167" applyNumberFormat="1" applyFont="1" applyFill="1" applyBorder="1" applyAlignment="1">
      <alignment horizontal="center"/>
    </xf>
    <xf numFmtId="167" fontId="24" fillId="25" borderId="41" xfId="167" applyNumberFormat="1" applyFont="1" applyFill="1" applyBorder="1" applyAlignment="1">
      <alignment horizontal="center"/>
    </xf>
    <xf numFmtId="167" fontId="24" fillId="25" borderId="42" xfId="167" applyNumberFormat="1" applyFont="1" applyFill="1" applyBorder="1" applyAlignment="1">
      <alignment horizontal="center"/>
    </xf>
    <xf numFmtId="0" fontId="24" fillId="0" borderId="0" xfId="0" applyFont="1" applyBorder="1" applyAlignment="1">
      <alignment horizontal="center" vertical="top"/>
    </xf>
    <xf numFmtId="0" fontId="2" fillId="3" borderId="1" xfId="0" applyFont="1" applyFill="1" applyBorder="1" applyAlignment="1">
      <alignment horizontal="center"/>
    </xf>
    <xf numFmtId="0" fontId="2" fillId="0" borderId="33" xfId="0" applyFont="1" applyBorder="1" applyAlignment="1">
      <alignment horizontal="center"/>
    </xf>
    <xf numFmtId="0" fontId="42" fillId="28" borderId="12" xfId="0" applyFont="1" applyFill="1" applyBorder="1" applyAlignment="1">
      <alignment horizontal="center"/>
    </xf>
    <xf numFmtId="0" fontId="42" fillId="28" borderId="13" xfId="0" applyFont="1" applyFill="1" applyBorder="1" applyAlignment="1">
      <alignment horizontal="center"/>
    </xf>
    <xf numFmtId="0" fontId="42" fillId="28" borderId="14" xfId="0" applyFont="1" applyFill="1" applyBorder="1" applyAlignment="1">
      <alignment horizontal="center"/>
    </xf>
    <xf numFmtId="0" fontId="2" fillId="28" borderId="12" xfId="0" applyFont="1" applyFill="1" applyBorder="1" applyAlignment="1">
      <alignment horizontal="center"/>
    </xf>
    <xf numFmtId="0" fontId="2" fillId="28" borderId="13" xfId="0" applyFont="1" applyFill="1" applyBorder="1" applyAlignment="1">
      <alignment horizontal="center"/>
    </xf>
    <xf numFmtId="0" fontId="2" fillId="28" borderId="14" xfId="0" applyFont="1" applyFill="1" applyBorder="1" applyAlignment="1">
      <alignment horizontal="center"/>
    </xf>
    <xf numFmtId="0" fontId="29" fillId="3" borderId="38" xfId="0" applyFont="1" applyFill="1" applyBorder="1" applyAlignment="1">
      <alignment horizontal="center" wrapText="1"/>
    </xf>
    <xf numFmtId="0" fontId="29" fillId="3" borderId="41" xfId="0" applyFont="1" applyFill="1" applyBorder="1" applyAlignment="1">
      <alignment horizontal="center" wrapText="1"/>
    </xf>
    <xf numFmtId="0" fontId="29" fillId="3" borderId="42" xfId="0" applyFont="1" applyFill="1" applyBorder="1" applyAlignment="1">
      <alignment horizontal="center" wrapText="1"/>
    </xf>
    <xf numFmtId="0" fontId="2" fillId="0" borderId="12" xfId="0" applyFont="1" applyFill="1" applyBorder="1" applyAlignment="1">
      <alignment horizontal="center"/>
    </xf>
    <xf numFmtId="0" fontId="2" fillId="0" borderId="13" xfId="0" applyFont="1" applyFill="1" applyBorder="1" applyAlignment="1">
      <alignment horizontal="center"/>
    </xf>
    <xf numFmtId="0" fontId="2" fillId="0" borderId="14" xfId="0" applyFont="1" applyFill="1" applyBorder="1" applyAlignment="1">
      <alignment horizontal="center"/>
    </xf>
    <xf numFmtId="0" fontId="0" fillId="27" borderId="33" xfId="0" applyFill="1" applyBorder="1" applyAlignment="1">
      <alignment horizontal="center"/>
    </xf>
    <xf numFmtId="0" fontId="0" fillId="26" borderId="31" xfId="0" applyFill="1" applyBorder="1" applyAlignment="1">
      <alignment horizontal="center"/>
    </xf>
    <xf numFmtId="0" fontId="0" fillId="28" borderId="12" xfId="0" applyFill="1" applyBorder="1" applyAlignment="1">
      <alignment horizontal="center"/>
    </xf>
    <xf numFmtId="0" fontId="0" fillId="28" borderId="13" xfId="0" applyFill="1" applyBorder="1" applyAlignment="1">
      <alignment horizontal="center"/>
    </xf>
    <xf numFmtId="0" fontId="0" fillId="28" borderId="14" xfId="0" applyFill="1" applyBorder="1" applyAlignment="1">
      <alignment horizontal="center"/>
    </xf>
    <xf numFmtId="0" fontId="0" fillId="28" borderId="16" xfId="0" applyFill="1" applyBorder="1" applyAlignment="1">
      <alignment horizontal="center"/>
    </xf>
    <xf numFmtId="0" fontId="0" fillId="28" borderId="15" xfId="0" applyFill="1" applyBorder="1" applyAlignment="1">
      <alignment horizontal="center"/>
    </xf>
    <xf numFmtId="0" fontId="0" fillId="28" borderId="17" xfId="0" applyFill="1" applyBorder="1" applyAlignment="1">
      <alignment horizontal="center"/>
    </xf>
    <xf numFmtId="2" fontId="0" fillId="28" borderId="16" xfId="0" applyNumberFormat="1" applyFill="1" applyBorder="1" applyAlignment="1">
      <alignment horizontal="center"/>
    </xf>
    <xf numFmtId="2" fontId="0" fillId="28" borderId="17" xfId="0" applyNumberFormat="1" applyFill="1" applyBorder="1" applyAlignment="1">
      <alignment horizontal="center"/>
    </xf>
    <xf numFmtId="14" fontId="0" fillId="28" borderId="12" xfId="0" applyNumberFormat="1" applyFill="1" applyBorder="1" applyAlignment="1">
      <alignment horizontal="center"/>
    </xf>
    <xf numFmtId="0" fontId="2" fillId="3" borderId="1" xfId="0" applyFont="1" applyFill="1" applyBorder="1" applyAlignment="1">
      <alignment horizontal="center" wrapText="1"/>
    </xf>
    <xf numFmtId="0" fontId="2" fillId="0" borderId="44" xfId="0" applyFont="1" applyBorder="1" applyAlignment="1">
      <alignment horizontal="left"/>
    </xf>
    <xf numFmtId="0" fontId="2" fillId="0" borderId="45" xfId="0" applyFont="1" applyBorder="1" applyAlignment="1">
      <alignment horizontal="left"/>
    </xf>
    <xf numFmtId="0" fontId="2" fillId="0" borderId="53" xfId="0" applyFont="1" applyBorder="1" applyAlignment="1">
      <alignment horizontal="left"/>
    </xf>
    <xf numFmtId="9" fontId="0" fillId="0" borderId="53" xfId="32" applyFont="1" applyFill="1" applyBorder="1" applyAlignment="1" applyProtection="1">
      <alignment horizontal="center"/>
      <protection locked="0"/>
    </xf>
    <xf numFmtId="9" fontId="0" fillId="26" borderId="53" xfId="32" applyFont="1" applyFill="1" applyBorder="1" applyAlignment="1">
      <alignment horizontal="center"/>
    </xf>
    <xf numFmtId="0" fontId="2" fillId="3" borderId="12" xfId="0" applyFont="1" applyFill="1" applyBorder="1" applyAlignment="1">
      <alignment horizontal="left" vertical="center"/>
    </xf>
    <xf numFmtId="0" fontId="2" fillId="3" borderId="13" xfId="0" applyFont="1" applyFill="1" applyBorder="1" applyAlignment="1">
      <alignment horizontal="left" vertical="center"/>
    </xf>
    <xf numFmtId="3" fontId="24" fillId="25" borderId="1" xfId="168" applyNumberFormat="1" applyFont="1" applyFill="1" applyBorder="1" applyAlignment="1">
      <alignment horizontal="center"/>
    </xf>
    <xf numFmtId="37" fontId="24" fillId="25" borderId="1" xfId="168" applyNumberFormat="1" applyFont="1" applyFill="1" applyBorder="1" applyAlignment="1">
      <alignment horizontal="center"/>
    </xf>
    <xf numFmtId="0" fontId="2" fillId="0" borderId="12" xfId="0" applyFont="1" applyBorder="1" applyAlignment="1">
      <alignment horizontal="left" vertical="center"/>
    </xf>
    <xf numFmtId="0" fontId="2" fillId="0" borderId="13" xfId="0" applyFont="1" applyBorder="1" applyAlignment="1">
      <alignment horizontal="left" vertical="center"/>
    </xf>
    <xf numFmtId="4" fontId="0" fillId="26" borderId="12" xfId="168" applyNumberFormat="1" applyFont="1" applyFill="1" applyBorder="1" applyAlignment="1">
      <alignment horizontal="center" vertical="center"/>
    </xf>
    <xf numFmtId="4" fontId="0" fillId="26" borderId="13" xfId="168" applyNumberFormat="1" applyFont="1" applyFill="1" applyBorder="1" applyAlignment="1">
      <alignment horizontal="center" vertical="center"/>
    </xf>
    <xf numFmtId="4" fontId="0" fillId="26" borderId="14" xfId="168" applyNumberFormat="1" applyFont="1" applyFill="1" applyBorder="1" applyAlignment="1">
      <alignment horizontal="center" vertical="center"/>
    </xf>
    <xf numFmtId="4" fontId="0" fillId="3" borderId="12" xfId="168" applyNumberFormat="1" applyFont="1" applyFill="1" applyBorder="1" applyAlignment="1" applyProtection="1">
      <alignment horizontal="center" vertical="center"/>
      <protection locked="0"/>
    </xf>
    <xf numFmtId="4" fontId="0" fillId="3" borderId="13" xfId="168" applyNumberFormat="1" applyFont="1" applyFill="1" applyBorder="1" applyAlignment="1" applyProtection="1">
      <alignment horizontal="center" vertical="center"/>
      <protection locked="0"/>
    </xf>
    <xf numFmtId="4" fontId="0" fillId="3" borderId="14" xfId="168" applyNumberFormat="1" applyFont="1" applyFill="1" applyBorder="1" applyAlignment="1" applyProtection="1">
      <alignment horizontal="center" vertical="center"/>
      <protection locked="0"/>
    </xf>
    <xf numFmtId="0" fontId="4" fillId="3" borderId="12" xfId="0" applyFont="1" applyFill="1" applyBorder="1" applyAlignment="1">
      <alignment horizontal="center"/>
    </xf>
    <xf numFmtId="0" fontId="4" fillId="3" borderId="13" xfId="0" applyFont="1" applyFill="1" applyBorder="1" applyAlignment="1">
      <alignment horizontal="center"/>
    </xf>
    <xf numFmtId="0" fontId="4" fillId="3" borderId="14" xfId="0" applyFont="1" applyFill="1" applyBorder="1" applyAlignment="1">
      <alignment horizontal="center"/>
    </xf>
    <xf numFmtId="0" fontId="24" fillId="25" borderId="33" xfId="0" applyFont="1" applyFill="1" applyBorder="1" applyAlignment="1">
      <alignment horizontal="left"/>
    </xf>
    <xf numFmtId="0" fontId="2" fillId="24" borderId="44" xfId="0" applyFont="1" applyFill="1" applyBorder="1" applyAlignment="1" applyProtection="1">
      <alignment horizontal="center"/>
      <protection locked="0"/>
    </xf>
    <xf numFmtId="0" fontId="2" fillId="24" borderId="45" xfId="0" applyFont="1" applyFill="1" applyBorder="1" applyAlignment="1" applyProtection="1">
      <alignment horizontal="center"/>
      <protection locked="0"/>
    </xf>
    <xf numFmtId="0" fontId="2" fillId="24" borderId="46" xfId="0" applyFont="1" applyFill="1" applyBorder="1" applyAlignment="1" applyProtection="1">
      <alignment horizontal="center"/>
      <protection locked="0"/>
    </xf>
    <xf numFmtId="0" fontId="2" fillId="0" borderId="47" xfId="0" applyFont="1" applyFill="1" applyBorder="1" applyAlignment="1" applyProtection="1">
      <alignment horizontal="center"/>
      <protection locked="0"/>
    </xf>
    <xf numFmtId="0" fontId="2" fillId="0" borderId="48" xfId="0" applyFont="1" applyFill="1" applyBorder="1" applyAlignment="1" applyProtection="1">
      <alignment horizontal="center"/>
      <protection locked="0"/>
    </xf>
    <xf numFmtId="0" fontId="2" fillId="0" borderId="49" xfId="0" applyFont="1" applyFill="1" applyBorder="1" applyAlignment="1" applyProtection="1">
      <alignment horizontal="center"/>
      <protection locked="0"/>
    </xf>
    <xf numFmtId="0" fontId="23" fillId="3" borderId="33" xfId="166" applyFill="1" applyBorder="1" applyAlignment="1">
      <alignment horizontal="center"/>
    </xf>
    <xf numFmtId="0" fontId="2" fillId="0" borderId="25" xfId="0" applyFont="1" applyBorder="1" applyAlignment="1">
      <alignment horizontal="center" wrapText="1"/>
    </xf>
    <xf numFmtId="0" fontId="2" fillId="0" borderId="4" xfId="0" applyFont="1" applyBorder="1" applyAlignment="1">
      <alignment horizontal="center" wrapText="1"/>
    </xf>
    <xf numFmtId="0" fontId="2" fillId="0" borderId="0" xfId="0" applyFont="1" applyBorder="1" applyAlignment="1">
      <alignment horizontal="center" wrapText="1"/>
    </xf>
    <xf numFmtId="0" fontId="2" fillId="0" borderId="6" xfId="0" applyFont="1" applyBorder="1" applyAlignment="1">
      <alignment horizontal="center" wrapText="1"/>
    </xf>
    <xf numFmtId="44" fontId="0" fillId="0" borderId="12" xfId="167" applyFont="1" applyFill="1" applyBorder="1" applyAlignment="1" applyProtection="1">
      <alignment horizontal="center"/>
      <protection locked="0"/>
    </xf>
    <xf numFmtId="44" fontId="0" fillId="0" borderId="13" xfId="167" applyFont="1" applyFill="1" applyBorder="1" applyAlignment="1" applyProtection="1">
      <alignment horizontal="center"/>
      <protection locked="0"/>
    </xf>
    <xf numFmtId="44" fontId="0" fillId="0" borderId="14" xfId="167" applyFont="1" applyFill="1" applyBorder="1" applyAlignment="1" applyProtection="1">
      <alignment horizontal="center"/>
      <protection locked="0"/>
    </xf>
    <xf numFmtId="0" fontId="0" fillId="0" borderId="1" xfId="0" applyFont="1" applyFill="1" applyBorder="1" applyAlignment="1" applyProtection="1">
      <alignment horizontal="center"/>
      <protection locked="0"/>
    </xf>
    <xf numFmtId="0" fontId="0" fillId="0" borderId="1" xfId="0" applyFont="1" applyBorder="1" applyAlignment="1">
      <alignment horizontal="left"/>
    </xf>
    <xf numFmtId="0" fontId="0" fillId="26" borderId="1" xfId="0" applyFont="1" applyFill="1" applyBorder="1" applyAlignment="1">
      <alignment horizontal="center"/>
    </xf>
    <xf numFmtId="0" fontId="0" fillId="0" borderId="34" xfId="0" applyFont="1" applyBorder="1" applyAlignment="1">
      <alignment horizontal="left"/>
    </xf>
    <xf numFmtId="0" fontId="0" fillId="0" borderId="35" xfId="0" applyFont="1" applyBorder="1" applyAlignment="1">
      <alignment horizontal="left"/>
    </xf>
    <xf numFmtId="0" fontId="0" fillId="0" borderId="36" xfId="0" applyFont="1" applyBorder="1" applyAlignment="1">
      <alignment horizontal="left"/>
    </xf>
    <xf numFmtId="0" fontId="2" fillId="0" borderId="34" xfId="0" applyFont="1" applyBorder="1" applyAlignment="1" applyProtection="1">
      <alignment horizontal="center"/>
      <protection locked="0"/>
    </xf>
    <xf numFmtId="0" fontId="2" fillId="0" borderId="35" xfId="0" applyFont="1" applyBorder="1" applyAlignment="1" applyProtection="1">
      <alignment horizontal="center"/>
      <protection locked="0"/>
    </xf>
    <xf numFmtId="0" fontId="2" fillId="0" borderId="36" xfId="0" applyFont="1" applyBorder="1" applyAlignment="1" applyProtection="1">
      <alignment horizontal="center"/>
      <protection locked="0"/>
    </xf>
    <xf numFmtId="0" fontId="0" fillId="0" borderId="3" xfId="0" applyFont="1" applyBorder="1" applyAlignment="1">
      <alignment horizontal="center" vertical="center" wrapText="1"/>
    </xf>
    <xf numFmtId="0" fontId="0" fillId="0" borderId="25" xfId="0" applyFont="1" applyBorder="1" applyAlignment="1">
      <alignment horizontal="center" vertical="center" wrapText="1"/>
    </xf>
    <xf numFmtId="0" fontId="0" fillId="0" borderId="4" xfId="0" applyFont="1" applyBorder="1" applyAlignment="1">
      <alignment horizontal="center" vertical="center" wrapText="1"/>
    </xf>
    <xf numFmtId="0" fontId="0" fillId="0" borderId="27" xfId="0" applyFont="1" applyBorder="1" applyAlignment="1">
      <alignment horizontal="center" vertical="center" wrapText="1"/>
    </xf>
    <xf numFmtId="0" fontId="0" fillId="0" borderId="26" xfId="0" applyFont="1" applyBorder="1" applyAlignment="1">
      <alignment horizontal="center" vertical="center" wrapText="1"/>
    </xf>
    <xf numFmtId="0" fontId="0" fillId="0" borderId="7" xfId="0" applyFont="1" applyBorder="1" applyAlignment="1">
      <alignment horizontal="center" vertical="center" wrapText="1"/>
    </xf>
    <xf numFmtId="165" fontId="0" fillId="26" borderId="1" xfId="0" applyNumberFormat="1" applyFont="1" applyFill="1" applyBorder="1" applyAlignment="1">
      <alignment horizontal="center"/>
    </xf>
    <xf numFmtId="0" fontId="30" fillId="23" borderId="34" xfId="0" applyFont="1" applyFill="1" applyBorder="1" applyAlignment="1">
      <alignment horizontal="center"/>
    </xf>
    <xf numFmtId="0" fontId="30" fillId="23" borderId="35" xfId="0" applyFont="1" applyFill="1" applyBorder="1" applyAlignment="1">
      <alignment horizontal="center"/>
    </xf>
    <xf numFmtId="0" fontId="30" fillId="23" borderId="36" xfId="0" applyFont="1" applyFill="1" applyBorder="1" applyAlignment="1">
      <alignment horizontal="center"/>
    </xf>
    <xf numFmtId="0" fontId="0" fillId="26" borderId="34" xfId="0" applyFill="1" applyBorder="1" applyAlignment="1" applyProtection="1">
      <alignment horizontal="center"/>
      <protection locked="0"/>
    </xf>
    <xf numFmtId="0" fontId="0" fillId="26" borderId="35" xfId="0" applyFill="1" applyBorder="1" applyAlignment="1" applyProtection="1">
      <alignment horizontal="center"/>
      <protection locked="0"/>
    </xf>
    <xf numFmtId="0" fontId="0" fillId="26" borderId="36" xfId="0" applyFill="1" applyBorder="1" applyAlignment="1" applyProtection="1">
      <alignment horizontal="center"/>
      <protection locked="0"/>
    </xf>
    <xf numFmtId="167" fontId="2" fillId="26" borderId="12" xfId="167" applyNumberFormat="1" applyFont="1" applyFill="1" applyBorder="1" applyAlignment="1">
      <alignment horizontal="center"/>
    </xf>
    <xf numFmtId="167" fontId="2" fillId="26" borderId="13" xfId="167" applyNumberFormat="1" applyFont="1" applyFill="1" applyBorder="1" applyAlignment="1">
      <alignment horizontal="center"/>
    </xf>
    <xf numFmtId="167" fontId="2" fillId="26" borderId="14" xfId="167" applyNumberFormat="1" applyFont="1" applyFill="1" applyBorder="1" applyAlignment="1">
      <alignment horizontal="center"/>
    </xf>
    <xf numFmtId="0" fontId="2" fillId="0" borderId="16" xfId="0" applyFont="1" applyBorder="1" applyAlignment="1">
      <alignment horizontal="left"/>
    </xf>
    <xf numFmtId="0" fontId="2" fillId="0" borderId="15" xfId="0" applyFont="1" applyBorder="1" applyAlignment="1">
      <alignment horizontal="left"/>
    </xf>
    <xf numFmtId="0" fontId="2" fillId="0" borderId="17" xfId="0" applyFont="1" applyBorder="1" applyAlignment="1">
      <alignment horizontal="left"/>
    </xf>
    <xf numFmtId="3" fontId="2" fillId="26" borderId="12" xfId="0" applyNumberFormat="1" applyFont="1" applyFill="1" applyBorder="1" applyAlignment="1">
      <alignment horizontal="center"/>
    </xf>
    <xf numFmtId="3" fontId="2" fillId="26" borderId="13" xfId="0" applyNumberFormat="1" applyFont="1" applyFill="1" applyBorder="1" applyAlignment="1">
      <alignment horizontal="center"/>
    </xf>
    <xf numFmtId="3" fontId="2" fillId="26" borderId="14" xfId="0" applyNumberFormat="1" applyFont="1" applyFill="1" applyBorder="1" applyAlignment="1">
      <alignment horizontal="center"/>
    </xf>
    <xf numFmtId="0" fontId="2" fillId="0" borderId="1" xfId="0" applyFont="1" applyBorder="1" applyAlignment="1">
      <alignment horizontal="left"/>
    </xf>
    <xf numFmtId="0" fontId="2" fillId="0" borderId="12" xfId="0" applyFont="1" applyBorder="1" applyAlignment="1">
      <alignment horizontal="left"/>
    </xf>
    <xf numFmtId="0" fontId="2" fillId="0" borderId="13" xfId="0" applyFont="1" applyBorder="1" applyAlignment="1">
      <alignment horizontal="left"/>
    </xf>
    <xf numFmtId="0" fontId="2" fillId="0" borderId="14" xfId="0" applyFont="1" applyBorder="1" applyAlignment="1">
      <alignment horizontal="left"/>
    </xf>
    <xf numFmtId="3" fontId="0" fillId="26" borderId="34" xfId="0" applyNumberFormat="1" applyFont="1" applyFill="1" applyBorder="1" applyAlignment="1">
      <alignment horizontal="center"/>
    </xf>
    <xf numFmtId="3" fontId="0" fillId="26" borderId="35" xfId="0" applyNumberFormat="1" applyFont="1" applyFill="1" applyBorder="1" applyAlignment="1">
      <alignment horizontal="center"/>
    </xf>
    <xf numFmtId="3" fontId="0" fillId="26" borderId="36" xfId="0" applyNumberFormat="1" applyFont="1" applyFill="1" applyBorder="1" applyAlignment="1">
      <alignment horizontal="center"/>
    </xf>
    <xf numFmtId="37" fontId="0" fillId="26" borderId="33" xfId="168" applyNumberFormat="1" applyFont="1" applyFill="1" applyBorder="1" applyAlignment="1">
      <alignment horizontal="center"/>
    </xf>
    <xf numFmtId="2" fontId="0" fillId="26" borderId="1" xfId="0" applyNumberFormat="1" applyFont="1" applyFill="1" applyBorder="1" applyAlignment="1">
      <alignment horizontal="center"/>
    </xf>
    <xf numFmtId="0" fontId="0" fillId="0" borderId="33" xfId="0" applyFont="1" applyBorder="1" applyAlignment="1">
      <alignment horizontal="left"/>
    </xf>
    <xf numFmtId="0" fontId="0" fillId="26" borderId="44" xfId="0" applyFill="1" applyBorder="1" applyAlignment="1" applyProtection="1">
      <alignment horizontal="center"/>
      <protection locked="0"/>
    </xf>
    <xf numFmtId="0" fontId="0" fillId="26" borderId="45" xfId="0" applyFill="1" applyBorder="1" applyAlignment="1" applyProtection="1">
      <alignment horizontal="center"/>
      <protection locked="0"/>
    </xf>
    <xf numFmtId="0" fontId="0" fillId="26" borderId="46" xfId="0" applyFill="1" applyBorder="1" applyAlignment="1" applyProtection="1">
      <alignment horizontal="center"/>
      <protection locked="0"/>
    </xf>
    <xf numFmtId="3" fontId="0" fillId="26" borderId="44" xfId="0" applyNumberFormat="1" applyFont="1" applyFill="1" applyBorder="1" applyAlignment="1">
      <alignment horizontal="center"/>
    </xf>
    <xf numFmtId="3" fontId="0" fillId="26" borderId="45" xfId="0" applyNumberFormat="1" applyFont="1" applyFill="1" applyBorder="1" applyAlignment="1">
      <alignment horizontal="center"/>
    </xf>
    <xf numFmtId="3" fontId="0" fillId="26" borderId="46" xfId="0" applyNumberFormat="1" applyFont="1" applyFill="1" applyBorder="1" applyAlignment="1">
      <alignment horizontal="center"/>
    </xf>
    <xf numFmtId="0" fontId="0" fillId="0" borderId="1" xfId="0" applyBorder="1" applyAlignment="1">
      <alignment horizontal="center"/>
    </xf>
    <xf numFmtId="0" fontId="0" fillId="27" borderId="38" xfId="0" applyFill="1" applyBorder="1" applyAlignment="1">
      <alignment horizontal="center"/>
    </xf>
    <xf numFmtId="0" fontId="0" fillId="27" borderId="41" xfId="0" applyFill="1" applyBorder="1" applyAlignment="1">
      <alignment horizontal="center"/>
    </xf>
    <xf numFmtId="0" fontId="0" fillId="27" borderId="42" xfId="0" applyFill="1" applyBorder="1" applyAlignment="1">
      <alignment horizontal="center"/>
    </xf>
    <xf numFmtId="0" fontId="0" fillId="26" borderId="38" xfId="0" applyFill="1" applyBorder="1" applyAlignment="1">
      <alignment horizontal="center"/>
    </xf>
    <xf numFmtId="0" fontId="0" fillId="26" borderId="41" xfId="0" applyFill="1" applyBorder="1" applyAlignment="1">
      <alignment horizontal="center"/>
    </xf>
    <xf numFmtId="0" fontId="0" fillId="26" borderId="42" xfId="0" applyFill="1" applyBorder="1" applyAlignment="1">
      <alignment horizontal="center"/>
    </xf>
    <xf numFmtId="0" fontId="4" fillId="0" borderId="19" xfId="0" applyFont="1" applyBorder="1" applyAlignment="1">
      <alignment horizontal="center" wrapText="1"/>
    </xf>
    <xf numFmtId="0" fontId="4" fillId="0" borderId="20" xfId="0" applyFont="1" applyBorder="1" applyAlignment="1">
      <alignment horizontal="center" wrapText="1"/>
    </xf>
    <xf numFmtId="0" fontId="4" fillId="0" borderId="21" xfId="0" applyFont="1" applyBorder="1" applyAlignment="1">
      <alignment horizontal="center" wrapText="1"/>
    </xf>
    <xf numFmtId="0" fontId="4" fillId="0" borderId="22" xfId="0" applyFont="1" applyBorder="1" applyAlignment="1">
      <alignment horizontal="center" wrapText="1"/>
    </xf>
    <xf numFmtId="0" fontId="4" fillId="0" borderId="23" xfId="0" applyFont="1" applyBorder="1" applyAlignment="1">
      <alignment horizontal="center" wrapText="1"/>
    </xf>
    <xf numFmtId="0" fontId="4" fillId="0" borderId="24" xfId="0" applyFont="1" applyBorder="1" applyAlignment="1">
      <alignment horizontal="center" wrapText="1"/>
    </xf>
    <xf numFmtId="3" fontId="0" fillId="26" borderId="1" xfId="0" applyNumberFormat="1" applyFont="1" applyFill="1" applyBorder="1" applyAlignment="1" applyProtection="1">
      <alignment horizontal="center"/>
      <protection locked="0"/>
    </xf>
    <xf numFmtId="0" fontId="0" fillId="0" borderId="18" xfId="0" applyFont="1" applyBorder="1" applyAlignment="1">
      <alignment horizontal="left"/>
    </xf>
    <xf numFmtId="176" fontId="0" fillId="26" borderId="18" xfId="32" applyNumberFormat="1" applyFont="1" applyFill="1" applyBorder="1" applyAlignment="1" applyProtection="1">
      <alignment horizontal="center"/>
      <protection locked="0"/>
    </xf>
    <xf numFmtId="0" fontId="2" fillId="0" borderId="34" xfId="0" applyFont="1" applyBorder="1" applyAlignment="1">
      <alignment horizontal="left"/>
    </xf>
    <xf numFmtId="0" fontId="2" fillId="0" borderId="35" xfId="0" applyFont="1" applyBorder="1" applyAlignment="1">
      <alignment horizontal="left"/>
    </xf>
    <xf numFmtId="0" fontId="2" fillId="0" borderId="36" xfId="0" applyFont="1" applyBorder="1" applyAlignment="1">
      <alignment horizontal="left"/>
    </xf>
    <xf numFmtId="0" fontId="24" fillId="0" borderId="38" xfId="0" applyFont="1" applyFill="1" applyBorder="1" applyAlignment="1">
      <alignment horizontal="left"/>
    </xf>
    <xf numFmtId="0" fontId="24" fillId="0" borderId="41" xfId="0" applyFont="1" applyFill="1" applyBorder="1" applyAlignment="1">
      <alignment horizontal="left"/>
    </xf>
    <xf numFmtId="0" fontId="24" fillId="0" borderId="42" xfId="0" applyFont="1" applyFill="1" applyBorder="1" applyAlignment="1">
      <alignment horizontal="left"/>
    </xf>
    <xf numFmtId="0" fontId="38" fillId="0" borderId="12" xfId="0" applyFont="1" applyBorder="1" applyAlignment="1">
      <alignment horizontal="center"/>
    </xf>
    <xf numFmtId="0" fontId="38" fillId="0" borderId="13" xfId="0" applyFont="1" applyBorder="1" applyAlignment="1">
      <alignment horizontal="center"/>
    </xf>
    <xf numFmtId="0" fontId="38" fillId="0" borderId="14" xfId="0" applyFont="1" applyBorder="1" applyAlignment="1">
      <alignment horizontal="center"/>
    </xf>
    <xf numFmtId="0" fontId="2" fillId="0" borderId="46" xfId="0" applyFont="1" applyBorder="1" applyAlignment="1">
      <alignment horizontal="left"/>
    </xf>
    <xf numFmtId="166" fontId="0" fillId="26" borderId="33" xfId="0" applyNumberFormat="1" applyFont="1" applyFill="1" applyBorder="1" applyAlignment="1">
      <alignment horizontal="center"/>
    </xf>
    <xf numFmtId="0" fontId="2" fillId="0" borderId="1" xfId="0" applyFont="1" applyFill="1" applyBorder="1" applyAlignment="1" applyProtection="1">
      <alignment horizontal="center"/>
      <protection locked="0"/>
    </xf>
    <xf numFmtId="44" fontId="0" fillId="31" borderId="38" xfId="167" applyFont="1" applyFill="1" applyBorder="1" applyAlignment="1">
      <alignment horizontal="center"/>
    </xf>
    <xf numFmtId="44" fontId="0" fillId="31" borderId="41" xfId="167" applyFont="1" applyFill="1" applyBorder="1" applyAlignment="1">
      <alignment horizontal="center"/>
    </xf>
    <xf numFmtId="44" fontId="0" fillId="31" borderId="42" xfId="167" applyFont="1" applyFill="1" applyBorder="1" applyAlignment="1">
      <alignment horizontal="center"/>
    </xf>
    <xf numFmtId="0" fontId="5" fillId="0" borderId="1" xfId="0" applyFont="1" applyFill="1" applyBorder="1" applyAlignment="1" applyProtection="1">
      <alignment horizontal="center"/>
      <protection locked="0"/>
    </xf>
    <xf numFmtId="0" fontId="24" fillId="23" borderId="34" xfId="0" applyFont="1" applyFill="1" applyBorder="1" applyAlignment="1">
      <alignment horizontal="center"/>
    </xf>
    <xf numFmtId="0" fontId="24" fillId="23" borderId="35" xfId="0" applyFont="1" applyFill="1" applyBorder="1" applyAlignment="1">
      <alignment horizontal="center"/>
    </xf>
    <xf numFmtId="0" fontId="29" fillId="0" borderId="35" xfId="0" applyFont="1" applyBorder="1" applyAlignment="1">
      <alignment horizontal="center"/>
    </xf>
    <xf numFmtId="0" fontId="0" fillId="0" borderId="34" xfId="0" applyFill="1" applyBorder="1" applyAlignment="1" applyProtection="1">
      <alignment horizontal="center"/>
      <protection locked="0"/>
    </xf>
    <xf numFmtId="0" fontId="0" fillId="0" borderId="35" xfId="0" applyFill="1" applyBorder="1" applyAlignment="1" applyProtection="1">
      <alignment horizontal="center"/>
      <protection locked="0"/>
    </xf>
    <xf numFmtId="0" fontId="0" fillId="0" borderId="36" xfId="0" applyFill="1" applyBorder="1" applyAlignment="1" applyProtection="1">
      <alignment horizontal="center"/>
      <protection locked="0"/>
    </xf>
    <xf numFmtId="0" fontId="0" fillId="0" borderId="9" xfId="0" applyFont="1" applyBorder="1" applyAlignment="1">
      <alignment horizontal="center"/>
    </xf>
    <xf numFmtId="0" fontId="0" fillId="0" borderId="1" xfId="0" applyFont="1" applyBorder="1" applyAlignment="1">
      <alignment horizontal="center"/>
    </xf>
    <xf numFmtId="0" fontId="0" fillId="0" borderId="10" xfId="0" applyFont="1" applyBorder="1" applyAlignment="1">
      <alignment horizontal="center"/>
    </xf>
    <xf numFmtId="0" fontId="2" fillId="28" borderId="3" xfId="0" applyFont="1" applyFill="1" applyBorder="1" applyAlignment="1">
      <alignment horizontal="left" vertical="center" wrapText="1"/>
    </xf>
    <xf numFmtId="0" fontId="2" fillId="28" borderId="25" xfId="0" applyFont="1" applyFill="1" applyBorder="1" applyAlignment="1">
      <alignment horizontal="left" vertical="center" wrapText="1"/>
    </xf>
    <xf numFmtId="0" fontId="2" fillId="28" borderId="4" xfId="0" applyFont="1" applyFill="1" applyBorder="1" applyAlignment="1">
      <alignment horizontal="left" vertical="center" wrapText="1"/>
    </xf>
    <xf numFmtId="0" fontId="2" fillId="28" borderId="5" xfId="0" applyFont="1" applyFill="1" applyBorder="1" applyAlignment="1">
      <alignment horizontal="left" vertical="center" wrapText="1"/>
    </xf>
    <xf numFmtId="0" fontId="2" fillId="28" borderId="0" xfId="0" applyFont="1" applyFill="1" applyBorder="1" applyAlignment="1">
      <alignment horizontal="left" vertical="center" wrapText="1"/>
    </xf>
    <xf numFmtId="0" fontId="2" fillId="28" borderId="6" xfId="0" applyFont="1" applyFill="1" applyBorder="1" applyAlignment="1">
      <alignment horizontal="left" vertical="center" wrapText="1"/>
    </xf>
    <xf numFmtId="0" fontId="2" fillId="28" borderId="27" xfId="0" applyFont="1" applyFill="1" applyBorder="1" applyAlignment="1">
      <alignment horizontal="left" vertical="center" wrapText="1"/>
    </xf>
    <xf numFmtId="0" fontId="2" fillId="28" borderId="26" xfId="0" applyFont="1" applyFill="1" applyBorder="1" applyAlignment="1">
      <alignment horizontal="left" vertical="center" wrapText="1"/>
    </xf>
    <xf numFmtId="0" fontId="2" fillId="28" borderId="7" xfId="0" applyFont="1" applyFill="1" applyBorder="1" applyAlignment="1">
      <alignment horizontal="left" vertical="center" wrapText="1"/>
    </xf>
    <xf numFmtId="0" fontId="24" fillId="28" borderId="3" xfId="0" applyFont="1" applyFill="1" applyBorder="1" applyAlignment="1">
      <alignment horizontal="left" vertical="center" wrapText="1"/>
    </xf>
    <xf numFmtId="0" fontId="24" fillId="28" borderId="25" xfId="0" applyFont="1" applyFill="1" applyBorder="1" applyAlignment="1">
      <alignment horizontal="left" vertical="center" wrapText="1"/>
    </xf>
    <xf numFmtId="0" fontId="24" fillId="28" borderId="4" xfId="0" applyFont="1" applyFill="1" applyBorder="1" applyAlignment="1">
      <alignment horizontal="left" vertical="center" wrapText="1"/>
    </xf>
    <xf numFmtId="0" fontId="24" fillId="28" borderId="5" xfId="0" applyFont="1" applyFill="1" applyBorder="1" applyAlignment="1">
      <alignment horizontal="left" vertical="center" wrapText="1"/>
    </xf>
    <xf numFmtId="0" fontId="24" fillId="28" borderId="0" xfId="0" applyFont="1" applyFill="1" applyBorder="1" applyAlignment="1">
      <alignment horizontal="left" vertical="center" wrapText="1"/>
    </xf>
    <xf numFmtId="0" fontId="24" fillId="28" borderId="6" xfId="0" applyFont="1" applyFill="1" applyBorder="1" applyAlignment="1">
      <alignment horizontal="left" vertical="center" wrapText="1"/>
    </xf>
    <xf numFmtId="0" fontId="24" fillId="28" borderId="27" xfId="0" applyFont="1" applyFill="1" applyBorder="1" applyAlignment="1">
      <alignment horizontal="left" vertical="center" wrapText="1"/>
    </xf>
    <xf numFmtId="0" fontId="24" fillId="28" borderId="26" xfId="0" applyFont="1" applyFill="1" applyBorder="1" applyAlignment="1">
      <alignment horizontal="left" vertical="center" wrapText="1"/>
    </xf>
    <xf numFmtId="0" fontId="24" fillId="28" borderId="7" xfId="0" applyFont="1" applyFill="1" applyBorder="1" applyAlignment="1">
      <alignment horizontal="left" vertical="center" wrapText="1"/>
    </xf>
    <xf numFmtId="164" fontId="0" fillId="0" borderId="18" xfId="167" applyNumberFormat="1" applyFont="1" applyFill="1" applyBorder="1" applyAlignment="1" applyProtection="1">
      <alignment horizontal="center"/>
      <protection locked="0"/>
    </xf>
    <xf numFmtId="3" fontId="0" fillId="26" borderId="33" xfId="0" applyNumberFormat="1" applyFont="1" applyFill="1" applyBorder="1" applyAlignment="1" applyProtection="1">
      <alignment horizontal="center"/>
      <protection locked="0"/>
    </xf>
    <xf numFmtId="3" fontId="0" fillId="26" borderId="18" xfId="0" applyNumberFormat="1" applyFont="1" applyFill="1" applyBorder="1" applyAlignment="1" applyProtection="1">
      <alignment horizontal="center"/>
      <protection locked="0"/>
    </xf>
    <xf numFmtId="176" fontId="0" fillId="26" borderId="33" xfId="32" applyNumberFormat="1" applyFont="1" applyFill="1" applyBorder="1" applyAlignment="1" applyProtection="1">
      <alignment horizontal="center"/>
      <protection locked="0"/>
    </xf>
    <xf numFmtId="3" fontId="0" fillId="0" borderId="10" xfId="0" applyNumberFormat="1" applyFont="1" applyFill="1" applyBorder="1" applyAlignment="1" applyProtection="1">
      <alignment horizontal="center"/>
      <protection locked="0"/>
    </xf>
    <xf numFmtId="3" fontId="0" fillId="0" borderId="11" xfId="0" applyNumberFormat="1" applyFont="1" applyFill="1" applyBorder="1" applyAlignment="1" applyProtection="1">
      <alignment horizontal="center"/>
      <protection locked="0"/>
    </xf>
    <xf numFmtId="3" fontId="0" fillId="0" borderId="9" xfId="0" applyNumberFormat="1" applyFont="1" applyFill="1" applyBorder="1" applyAlignment="1" applyProtection="1">
      <alignment horizontal="center"/>
      <protection locked="0"/>
    </xf>
    <xf numFmtId="176" fontId="0" fillId="24" borderId="1" xfId="32" applyNumberFormat="1" applyFont="1" applyFill="1" applyBorder="1" applyAlignment="1" applyProtection="1">
      <alignment horizontal="center"/>
      <protection locked="0"/>
    </xf>
    <xf numFmtId="3" fontId="0" fillId="0" borderId="33" xfId="0" applyNumberFormat="1" applyFont="1" applyFill="1" applyBorder="1" applyAlignment="1" applyProtection="1">
      <alignment horizontal="center"/>
      <protection locked="0"/>
    </xf>
    <xf numFmtId="176" fontId="0" fillId="0" borderId="1" xfId="32" applyNumberFormat="1" applyFont="1" applyFill="1" applyBorder="1" applyAlignment="1" applyProtection="1">
      <alignment horizontal="center"/>
      <protection locked="0"/>
    </xf>
    <xf numFmtId="169" fontId="0" fillId="0" borderId="1" xfId="0" applyNumberFormat="1" applyFont="1" applyFill="1" applyBorder="1" applyAlignment="1" applyProtection="1">
      <alignment horizontal="center"/>
      <protection locked="0"/>
    </xf>
    <xf numFmtId="164" fontId="0" fillId="26" borderId="1" xfId="0" applyNumberFormat="1" applyFont="1" applyFill="1" applyBorder="1" applyAlignment="1">
      <alignment horizontal="center"/>
    </xf>
    <xf numFmtId="0" fontId="2" fillId="28" borderId="38" xfId="0" applyFont="1" applyFill="1" applyBorder="1" applyAlignment="1">
      <alignment horizontal="center"/>
    </xf>
    <xf numFmtId="0" fontId="2" fillId="28" borderId="39" xfId="0" applyFont="1" applyFill="1" applyBorder="1" applyAlignment="1">
      <alignment horizontal="center"/>
    </xf>
    <xf numFmtId="0" fontId="2" fillId="28" borderId="40" xfId="0" applyFont="1" applyFill="1" applyBorder="1" applyAlignment="1">
      <alignment horizontal="center"/>
    </xf>
    <xf numFmtId="175" fontId="2" fillId="28" borderId="38" xfId="0" applyNumberFormat="1" applyFont="1" applyFill="1" applyBorder="1" applyAlignment="1">
      <alignment horizontal="center"/>
    </xf>
    <xf numFmtId="175" fontId="2" fillId="28" borderId="39" xfId="0" applyNumberFormat="1" applyFont="1" applyFill="1" applyBorder="1" applyAlignment="1">
      <alignment horizontal="center"/>
    </xf>
    <xf numFmtId="175" fontId="2" fillId="28" borderId="40" xfId="0" applyNumberFormat="1" applyFont="1" applyFill="1" applyBorder="1" applyAlignment="1">
      <alignment horizontal="center"/>
    </xf>
    <xf numFmtId="177" fontId="0" fillId="26" borderId="1" xfId="0" applyNumberFormat="1" applyFont="1" applyFill="1" applyBorder="1" applyAlignment="1">
      <alignment horizontal="center"/>
    </xf>
    <xf numFmtId="0" fontId="0" fillId="27" borderId="1" xfId="0" applyFill="1" applyBorder="1" applyAlignment="1">
      <alignment horizontal="center"/>
    </xf>
    <xf numFmtId="0" fontId="0" fillId="26" borderId="1" xfId="0" applyFill="1" applyBorder="1" applyAlignment="1">
      <alignment horizontal="center"/>
    </xf>
    <xf numFmtId="176" fontId="0" fillId="26" borderId="33" xfId="32" applyNumberFormat="1" applyFont="1" applyFill="1" applyBorder="1" applyAlignment="1">
      <alignment horizontal="center"/>
    </xf>
    <xf numFmtId="3" fontId="0" fillId="26" borderId="33" xfId="0" applyNumberFormat="1" applyFont="1" applyFill="1" applyBorder="1" applyAlignment="1">
      <alignment horizontal="center"/>
    </xf>
    <xf numFmtId="3" fontId="0" fillId="26" borderId="18" xfId="0" applyNumberFormat="1" applyFont="1" applyFill="1" applyBorder="1" applyAlignment="1">
      <alignment horizontal="center"/>
    </xf>
    <xf numFmtId="176" fontId="0" fillId="26" borderId="18" xfId="32" applyNumberFormat="1" applyFont="1" applyFill="1" applyBorder="1" applyAlignment="1">
      <alignment horizontal="center"/>
    </xf>
    <xf numFmtId="176" fontId="0" fillId="26" borderId="33" xfId="32" applyNumberFormat="1" applyFont="1" applyFill="1" applyBorder="1" applyAlignment="1" applyProtection="1">
      <alignment horizontal="center"/>
    </xf>
    <xf numFmtId="3" fontId="0" fillId="26" borderId="33" xfId="0" applyNumberFormat="1" applyFont="1" applyFill="1" applyBorder="1" applyAlignment="1" applyProtection="1">
      <alignment horizontal="center"/>
    </xf>
    <xf numFmtId="3" fontId="0" fillId="26" borderId="18" xfId="0" applyNumberFormat="1" applyFont="1" applyFill="1" applyBorder="1" applyAlignment="1" applyProtection="1">
      <alignment horizontal="center"/>
    </xf>
    <xf numFmtId="176" fontId="0" fillId="26" borderId="18" xfId="32" applyNumberFormat="1" applyFont="1" applyFill="1" applyBorder="1" applyAlignment="1" applyProtection="1">
      <alignment horizontal="center"/>
    </xf>
    <xf numFmtId="0" fontId="0" fillId="0" borderId="50" xfId="0" applyBorder="1" applyAlignment="1">
      <alignment horizontal="left"/>
    </xf>
    <xf numFmtId="0" fontId="0" fillId="0" borderId="51" xfId="0" applyBorder="1" applyAlignment="1">
      <alignment horizontal="left"/>
    </xf>
    <xf numFmtId="0" fontId="0" fillId="0" borderId="52" xfId="0" applyBorder="1" applyAlignment="1">
      <alignment horizontal="left"/>
    </xf>
    <xf numFmtId="0" fontId="4" fillId="31" borderId="50" xfId="0" applyFont="1" applyFill="1" applyBorder="1" applyAlignment="1">
      <alignment horizontal="center" wrapText="1"/>
    </xf>
    <xf numFmtId="0" fontId="4" fillId="31" borderId="51" xfId="0" applyFont="1" applyFill="1" applyBorder="1" applyAlignment="1">
      <alignment horizontal="center" wrapText="1"/>
    </xf>
    <xf numFmtId="0" fontId="4" fillId="31" borderId="52" xfId="0" applyFont="1" applyFill="1" applyBorder="1" applyAlignment="1">
      <alignment horizontal="center" wrapText="1"/>
    </xf>
    <xf numFmtId="0" fontId="4" fillId="0" borderId="50" xfId="0" applyFont="1" applyBorder="1" applyAlignment="1" applyProtection="1">
      <alignment horizontal="center" wrapText="1"/>
      <protection locked="0"/>
    </xf>
    <xf numFmtId="0" fontId="4" fillId="0" borderId="51" xfId="0" applyFont="1" applyBorder="1" applyAlignment="1" applyProtection="1">
      <alignment horizontal="center" wrapText="1"/>
      <protection locked="0"/>
    </xf>
    <xf numFmtId="0" fontId="4" fillId="0" borderId="52" xfId="0" applyFont="1" applyBorder="1" applyAlignment="1" applyProtection="1">
      <alignment horizontal="center" wrapText="1"/>
      <protection locked="0"/>
    </xf>
    <xf numFmtId="0" fontId="0" fillId="26" borderId="33" xfId="0" applyFont="1" applyFill="1" applyBorder="1" applyAlignment="1">
      <alignment horizontal="center"/>
    </xf>
    <xf numFmtId="3" fontId="0" fillId="0" borderId="1" xfId="0" applyNumberFormat="1" applyFont="1" applyFill="1" applyBorder="1" applyAlignment="1" applyProtection="1">
      <alignment horizontal="center"/>
      <protection locked="0"/>
    </xf>
    <xf numFmtId="2" fontId="0" fillId="26" borderId="10" xfId="0" applyNumberFormat="1" applyFill="1" applyBorder="1" applyAlignment="1">
      <alignment horizontal="center"/>
    </xf>
    <xf numFmtId="2" fontId="0" fillId="26" borderId="11" xfId="0" applyNumberFormat="1" applyFill="1" applyBorder="1" applyAlignment="1">
      <alignment horizontal="center"/>
    </xf>
    <xf numFmtId="2" fontId="0" fillId="26" borderId="9" xfId="0" applyNumberFormat="1" applyFill="1" applyBorder="1" applyAlignment="1">
      <alignment horizontal="center"/>
    </xf>
    <xf numFmtId="3" fontId="0" fillId="26" borderId="10" xfId="0" applyNumberFormat="1" applyFill="1" applyBorder="1" applyAlignment="1">
      <alignment horizontal="center"/>
    </xf>
    <xf numFmtId="3" fontId="0" fillId="26" borderId="11" xfId="0" applyNumberFormat="1" applyFill="1" applyBorder="1" applyAlignment="1">
      <alignment horizontal="center"/>
    </xf>
    <xf numFmtId="3" fontId="0" fillId="26" borderId="9" xfId="0" applyNumberFormat="1" applyFill="1" applyBorder="1" applyAlignment="1">
      <alignment horizontal="center"/>
    </xf>
    <xf numFmtId="3" fontId="0" fillId="26" borderId="10" xfId="0" applyNumberFormat="1" applyFont="1" applyFill="1" applyBorder="1" applyAlignment="1" applyProtection="1">
      <alignment horizontal="center"/>
      <protection locked="0"/>
    </xf>
    <xf numFmtId="3" fontId="0" fillId="26" borderId="11" xfId="0" applyNumberFormat="1" applyFont="1" applyFill="1" applyBorder="1" applyAlignment="1" applyProtection="1">
      <alignment horizontal="center"/>
      <protection locked="0"/>
    </xf>
    <xf numFmtId="3" fontId="0" fillId="26" borderId="9" xfId="0" applyNumberFormat="1" applyFont="1" applyFill="1" applyBorder="1" applyAlignment="1" applyProtection="1">
      <alignment horizontal="center"/>
      <protection locked="0"/>
    </xf>
    <xf numFmtId="0" fontId="0" fillId="0" borderId="1" xfId="0" applyFont="1" applyFill="1" applyBorder="1" applyAlignment="1">
      <alignment horizontal="center"/>
    </xf>
    <xf numFmtId="0" fontId="4" fillId="0" borderId="29" xfId="0" applyFont="1" applyBorder="1" applyAlignment="1">
      <alignment horizontal="center" wrapText="1"/>
    </xf>
    <xf numFmtId="0" fontId="4" fillId="0" borderId="0" xfId="0" applyFont="1" applyBorder="1" applyAlignment="1">
      <alignment horizontal="center" wrapText="1"/>
    </xf>
    <xf numFmtId="0" fontId="4" fillId="0" borderId="30" xfId="0" applyFont="1" applyBorder="1" applyAlignment="1">
      <alignment horizontal="center" wrapText="1"/>
    </xf>
    <xf numFmtId="164" fontId="0" fillId="26" borderId="10" xfId="0" applyNumberFormat="1" applyFont="1" applyFill="1" applyBorder="1" applyAlignment="1">
      <alignment horizontal="center"/>
    </xf>
    <xf numFmtId="164" fontId="0" fillId="26" borderId="11" xfId="0" applyNumberFormat="1" applyFont="1" applyFill="1" applyBorder="1" applyAlignment="1">
      <alignment horizontal="center"/>
    </xf>
    <xf numFmtId="164" fontId="0" fillId="26" borderId="9" xfId="0" applyNumberFormat="1" applyFont="1" applyFill="1" applyBorder="1" applyAlignment="1">
      <alignment horizontal="center"/>
    </xf>
    <xf numFmtId="164" fontId="0" fillId="26" borderId="10" xfId="0" applyNumberFormat="1" applyFill="1" applyBorder="1" applyAlignment="1">
      <alignment horizontal="center"/>
    </xf>
    <xf numFmtId="164" fontId="0" fillId="26" borderId="11" xfId="0" applyNumberFormat="1" applyFill="1" applyBorder="1" applyAlignment="1">
      <alignment horizontal="center"/>
    </xf>
    <xf numFmtId="164" fontId="0" fillId="26" borderId="9" xfId="0" applyNumberFormat="1" applyFill="1" applyBorder="1" applyAlignment="1">
      <alignment horizontal="center"/>
    </xf>
    <xf numFmtId="2" fontId="0" fillId="26" borderId="10" xfId="0" applyNumberFormat="1" applyFont="1" applyFill="1" applyBorder="1" applyAlignment="1">
      <alignment horizontal="center"/>
    </xf>
    <xf numFmtId="2" fontId="0" fillId="26" borderId="11" xfId="0" applyNumberFormat="1" applyFont="1" applyFill="1" applyBorder="1" applyAlignment="1">
      <alignment horizontal="center"/>
    </xf>
    <xf numFmtId="2" fontId="0" fillId="26" borderId="9" xfId="0" applyNumberFormat="1" applyFont="1" applyFill="1" applyBorder="1" applyAlignment="1">
      <alignment horizontal="center"/>
    </xf>
    <xf numFmtId="3" fontId="0" fillId="26" borderId="10" xfId="0" applyNumberFormat="1" applyFont="1" applyFill="1" applyBorder="1" applyAlignment="1">
      <alignment horizontal="center"/>
    </xf>
    <xf numFmtId="3" fontId="0" fillId="26" borderId="11" xfId="0" applyNumberFormat="1" applyFont="1" applyFill="1" applyBorder="1" applyAlignment="1">
      <alignment horizontal="center"/>
    </xf>
    <xf numFmtId="3" fontId="0" fillId="26" borderId="9" xfId="0" applyNumberFormat="1" applyFont="1" applyFill="1" applyBorder="1" applyAlignment="1">
      <alignment horizontal="center"/>
    </xf>
    <xf numFmtId="44" fontId="0" fillId="26" borderId="12" xfId="167" applyFont="1" applyFill="1" applyBorder="1" applyAlignment="1" applyProtection="1">
      <alignment horizontal="center"/>
    </xf>
    <xf numFmtId="44" fontId="0" fillId="26" borderId="13" xfId="167" applyFont="1" applyFill="1" applyBorder="1" applyAlignment="1" applyProtection="1">
      <alignment horizontal="center"/>
    </xf>
    <xf numFmtId="44" fontId="0" fillId="26" borderId="14" xfId="167" applyFont="1" applyFill="1" applyBorder="1" applyAlignment="1" applyProtection="1">
      <alignment horizontal="center"/>
    </xf>
    <xf numFmtId="14" fontId="0" fillId="0" borderId="53" xfId="0" applyNumberFormat="1" applyFont="1" applyFill="1" applyBorder="1" applyAlignment="1" applyProtection="1">
      <alignment horizontal="center"/>
      <protection locked="0"/>
    </xf>
    <xf numFmtId="0" fontId="0" fillId="0" borderId="53" xfId="0" applyFont="1" applyFill="1" applyBorder="1" applyAlignment="1" applyProtection="1">
      <alignment horizontal="center"/>
      <protection locked="0"/>
    </xf>
    <xf numFmtId="0" fontId="0" fillId="28" borderId="38" xfId="0" applyFill="1" applyBorder="1" applyAlignment="1">
      <alignment horizontal="center"/>
    </xf>
    <xf numFmtId="0" fontId="0" fillId="28" borderId="39" xfId="0" applyFill="1" applyBorder="1" applyAlignment="1">
      <alignment horizontal="center"/>
    </xf>
    <xf numFmtId="0" fontId="0" fillId="28" borderId="40" xfId="0" applyFill="1" applyBorder="1" applyAlignment="1">
      <alignment horizontal="center"/>
    </xf>
    <xf numFmtId="175" fontId="0" fillId="28" borderId="38" xfId="0" applyNumberFormat="1" applyFill="1" applyBorder="1" applyAlignment="1">
      <alignment horizontal="center"/>
    </xf>
    <xf numFmtId="175" fontId="0" fillId="28" borderId="39" xfId="0" applyNumberFormat="1" applyFill="1" applyBorder="1" applyAlignment="1">
      <alignment horizontal="center"/>
    </xf>
    <xf numFmtId="175" fontId="0" fillId="28" borderId="40" xfId="0" applyNumberFormat="1" applyFill="1" applyBorder="1" applyAlignment="1">
      <alignment horizontal="center"/>
    </xf>
    <xf numFmtId="44" fontId="0" fillId="26" borderId="12" xfId="167" applyFont="1" applyFill="1" applyBorder="1" applyAlignment="1" applyProtection="1">
      <alignment horizontal="center"/>
      <protection locked="0"/>
    </xf>
    <xf numFmtId="44" fontId="0" fillId="26" borderId="13" xfId="167" applyFont="1" applyFill="1" applyBorder="1" applyAlignment="1" applyProtection="1">
      <alignment horizontal="center"/>
      <protection locked="0"/>
    </xf>
    <xf numFmtId="44" fontId="0" fillId="26" borderId="14" xfId="167" applyFont="1" applyFill="1" applyBorder="1" applyAlignment="1" applyProtection="1">
      <alignment horizontal="center"/>
      <protection locked="0"/>
    </xf>
    <xf numFmtId="0" fontId="0" fillId="6" borderId="19" xfId="0" applyFill="1" applyBorder="1" applyAlignment="1">
      <alignment horizontal="left" vertical="top"/>
    </xf>
    <xf numFmtId="0" fontId="0" fillId="6" borderId="20" xfId="0" applyFill="1" applyBorder="1" applyAlignment="1">
      <alignment horizontal="left" vertical="top"/>
    </xf>
    <xf numFmtId="0" fontId="0" fillId="6" borderId="21" xfId="0" applyFill="1" applyBorder="1" applyAlignment="1">
      <alignment horizontal="left" vertical="top"/>
    </xf>
    <xf numFmtId="0" fontId="0" fillId="6" borderId="29" xfId="0" applyFill="1" applyBorder="1" applyAlignment="1">
      <alignment horizontal="left" vertical="top"/>
    </xf>
    <xf numFmtId="0" fontId="0" fillId="6" borderId="0" xfId="0" applyFill="1" applyBorder="1" applyAlignment="1">
      <alignment horizontal="left" vertical="top"/>
    </xf>
    <xf numFmtId="0" fontId="0" fillId="6" borderId="30" xfId="0" applyFill="1" applyBorder="1" applyAlignment="1">
      <alignment horizontal="left" vertical="top"/>
    </xf>
    <xf numFmtId="0" fontId="0" fillId="6" borderId="22" xfId="0" applyFill="1" applyBorder="1" applyAlignment="1">
      <alignment horizontal="left" vertical="top"/>
    </xf>
    <xf numFmtId="0" fontId="0" fillId="6" borderId="23" xfId="0" applyFill="1" applyBorder="1" applyAlignment="1">
      <alignment horizontal="left" vertical="top"/>
    </xf>
    <xf numFmtId="0" fontId="0" fillId="6" borderId="24" xfId="0" applyFill="1" applyBorder="1" applyAlignment="1">
      <alignment horizontal="left" vertical="top"/>
    </xf>
    <xf numFmtId="0" fontId="0" fillId="6" borderId="33" xfId="0" applyFill="1" applyBorder="1" applyAlignment="1">
      <alignment horizontal="left"/>
    </xf>
    <xf numFmtId="0" fontId="0" fillId="0" borderId="33" xfId="0" applyBorder="1" applyAlignment="1">
      <alignment horizontal="center"/>
    </xf>
    <xf numFmtId="14" fontId="0" fillId="0" borderId="33" xfId="0" applyNumberFormat="1" applyBorder="1" applyAlignment="1">
      <alignment horizontal="center"/>
    </xf>
    <xf numFmtId="0" fontId="25" fillId="34" borderId="33" xfId="0" applyFont="1" applyFill="1" applyBorder="1" applyAlignment="1">
      <alignment horizontal="center"/>
    </xf>
    <xf numFmtId="0" fontId="0" fillId="6" borderId="19" xfId="0" applyFill="1" applyBorder="1" applyAlignment="1">
      <alignment horizontal="left" vertical="top" wrapText="1"/>
    </xf>
    <xf numFmtId="0" fontId="0" fillId="6" borderId="20" xfId="0" applyFill="1" applyBorder="1" applyAlignment="1">
      <alignment horizontal="left" vertical="top" wrapText="1"/>
    </xf>
    <xf numFmtId="0" fontId="0" fillId="6" borderId="21" xfId="0" applyFill="1" applyBorder="1" applyAlignment="1">
      <alignment horizontal="left" vertical="top" wrapText="1"/>
    </xf>
    <xf numFmtId="0" fontId="0" fillId="6" borderId="29" xfId="0" applyFill="1" applyBorder="1" applyAlignment="1">
      <alignment horizontal="left" vertical="top" wrapText="1"/>
    </xf>
    <xf numFmtId="0" fontId="0" fillId="6" borderId="0" xfId="0" applyFill="1" applyBorder="1" applyAlignment="1">
      <alignment horizontal="left" vertical="top" wrapText="1"/>
    </xf>
    <xf numFmtId="0" fontId="0" fillId="6" borderId="30" xfId="0" applyFill="1" applyBorder="1" applyAlignment="1">
      <alignment horizontal="left" vertical="top" wrapText="1"/>
    </xf>
    <xf numFmtId="0" fontId="0" fillId="6" borderId="22" xfId="0" applyFill="1" applyBorder="1" applyAlignment="1">
      <alignment horizontal="left" vertical="top" wrapText="1"/>
    </xf>
    <xf numFmtId="0" fontId="0" fillId="6" borderId="23" xfId="0" applyFill="1" applyBorder="1" applyAlignment="1">
      <alignment horizontal="left" vertical="top" wrapText="1"/>
    </xf>
    <xf numFmtId="0" fontId="0" fillId="6" borderId="24" xfId="0" applyFill="1" applyBorder="1" applyAlignment="1">
      <alignment horizontal="left" vertical="top" wrapText="1"/>
    </xf>
    <xf numFmtId="0" fontId="2" fillId="29" borderId="12" xfId="0" applyFont="1" applyFill="1" applyBorder="1" applyAlignment="1">
      <alignment horizontal="center"/>
    </xf>
    <xf numFmtId="0" fontId="2" fillId="29" borderId="13" xfId="0" applyFont="1" applyFill="1" applyBorder="1" applyAlignment="1">
      <alignment horizontal="center"/>
    </xf>
    <xf numFmtId="0" fontId="2" fillId="29" borderId="14" xfId="0" applyFont="1" applyFill="1" applyBorder="1" applyAlignment="1">
      <alignment horizontal="center"/>
    </xf>
    <xf numFmtId="0" fontId="0" fillId="30" borderId="33" xfId="0" applyFill="1" applyBorder="1" applyAlignment="1">
      <alignment horizontal="center"/>
    </xf>
    <xf numFmtId="2" fontId="0" fillId="30" borderId="33" xfId="0" applyNumberFormat="1" applyFill="1" applyBorder="1" applyAlignment="1">
      <alignment horizontal="center"/>
    </xf>
    <xf numFmtId="0" fontId="0" fillId="30" borderId="38" xfId="0" applyFill="1" applyBorder="1" applyAlignment="1">
      <alignment horizontal="center"/>
    </xf>
    <xf numFmtId="0" fontId="0" fillId="30" borderId="39" xfId="0" applyFill="1" applyBorder="1" applyAlignment="1">
      <alignment horizontal="center"/>
    </xf>
    <xf numFmtId="0" fontId="0" fillId="30" borderId="40" xfId="0" applyFill="1" applyBorder="1" applyAlignment="1">
      <alignment horizontal="center"/>
    </xf>
    <xf numFmtId="14" fontId="0" fillId="30" borderId="38" xfId="0" applyNumberFormat="1" applyFill="1" applyBorder="1" applyAlignment="1">
      <alignment horizontal="center"/>
    </xf>
  </cellXfs>
  <cellStyles count="176">
    <cellStyle name="°F" xfId="22"/>
    <cellStyle name="20% - Accent1 2" xfId="33"/>
    <cellStyle name="20% - Accent1 2 2" xfId="34"/>
    <cellStyle name="20% - Accent1 3" xfId="35"/>
    <cellStyle name="20% - Accent1 3 2" xfId="36"/>
    <cellStyle name="20% - Accent1 4" xfId="37"/>
    <cellStyle name="20% - Accent1 4 2" xfId="38"/>
    <cellStyle name="20% - Accent1 5" xfId="39"/>
    <cellStyle name="20% - Accent1 6" xfId="40"/>
    <cellStyle name="20% - Accent2 2" xfId="41"/>
    <cellStyle name="20% - Accent2 2 2" xfId="42"/>
    <cellStyle name="20% - Accent2 3" xfId="43"/>
    <cellStyle name="20% - Accent2 3 2" xfId="44"/>
    <cellStyle name="20% - Accent2 4" xfId="45"/>
    <cellStyle name="20% - Accent2 4 2" xfId="46"/>
    <cellStyle name="20% - Accent2 5" xfId="47"/>
    <cellStyle name="20% - Accent2 6" xfId="48"/>
    <cellStyle name="20% - Accent3 2" xfId="49"/>
    <cellStyle name="20% - Accent3 2 2" xfId="50"/>
    <cellStyle name="20% - Accent3 3" xfId="51"/>
    <cellStyle name="20% - Accent3 3 2" xfId="52"/>
    <cellStyle name="20% - Accent3 4" xfId="53"/>
    <cellStyle name="20% - Accent3 4 2" xfId="54"/>
    <cellStyle name="20% - Accent3 5" xfId="55"/>
    <cellStyle name="20% - Accent3 6" xfId="56"/>
    <cellStyle name="20% - Accent4 2" xfId="57"/>
    <cellStyle name="20% - Accent4 2 2" xfId="58"/>
    <cellStyle name="20% - Accent4 3" xfId="59"/>
    <cellStyle name="20% - Accent4 3 2" xfId="60"/>
    <cellStyle name="20% - Accent4 4" xfId="61"/>
    <cellStyle name="20% - Accent4 4 2" xfId="62"/>
    <cellStyle name="20% - Accent4 5" xfId="63"/>
    <cellStyle name="20% - Accent4 6" xfId="64"/>
    <cellStyle name="20% - Accent5 2" xfId="65"/>
    <cellStyle name="20% - Accent5 2 2" xfId="66"/>
    <cellStyle name="20% - Accent5 3" xfId="67"/>
    <cellStyle name="20% - Accent5 3 2" xfId="68"/>
    <cellStyle name="20% - Accent5 4" xfId="69"/>
    <cellStyle name="20% - Accent5 4 2" xfId="70"/>
    <cellStyle name="20% - Accent5 5" xfId="71"/>
    <cellStyle name="20% - Accent5 6" xfId="72"/>
    <cellStyle name="20% - Accent6 2" xfId="73"/>
    <cellStyle name="20% - Accent6 2 2" xfId="74"/>
    <cellStyle name="20% - Accent6 3" xfId="75"/>
    <cellStyle name="20% - Accent6 3 2" xfId="76"/>
    <cellStyle name="20% - Accent6 4" xfId="77"/>
    <cellStyle name="20% - Accent6 4 2" xfId="78"/>
    <cellStyle name="20% - Accent6 5" xfId="79"/>
    <cellStyle name="20% - Accent6 6" xfId="80"/>
    <cellStyle name="40% - Accent1 2" xfId="81"/>
    <cellStyle name="40% - Accent1 2 2" xfId="82"/>
    <cellStyle name="40% - Accent1 3" xfId="83"/>
    <cellStyle name="40% - Accent1 3 2" xfId="84"/>
    <cellStyle name="40% - Accent1 4" xfId="85"/>
    <cellStyle name="40% - Accent1 4 2" xfId="86"/>
    <cellStyle name="40% - Accent1 5" xfId="87"/>
    <cellStyle name="40% - Accent1 6" xfId="88"/>
    <cellStyle name="40% - Accent2 2" xfId="89"/>
    <cellStyle name="40% - Accent2 2 2" xfId="90"/>
    <cellStyle name="40% - Accent2 3" xfId="91"/>
    <cellStyle name="40% - Accent2 3 2" xfId="92"/>
    <cellStyle name="40% - Accent2 4" xfId="93"/>
    <cellStyle name="40% - Accent2 4 2" xfId="94"/>
    <cellStyle name="40% - Accent2 5" xfId="95"/>
    <cellStyle name="40% - Accent2 6" xfId="96"/>
    <cellStyle name="40% - Accent3 2" xfId="97"/>
    <cellStyle name="40% - Accent3 2 2" xfId="98"/>
    <cellStyle name="40% - Accent3 3" xfId="99"/>
    <cellStyle name="40% - Accent3 3 2" xfId="100"/>
    <cellStyle name="40% - Accent3 4" xfId="101"/>
    <cellStyle name="40% - Accent3 4 2" xfId="102"/>
    <cellStyle name="40% - Accent3 5" xfId="103"/>
    <cellStyle name="40% - Accent3 6" xfId="104"/>
    <cellStyle name="40% - Accent4 2" xfId="105"/>
    <cellStyle name="40% - Accent4 2 2" xfId="106"/>
    <cellStyle name="40% - Accent4 3" xfId="107"/>
    <cellStyle name="40% - Accent4 3 2" xfId="108"/>
    <cellStyle name="40% - Accent4 4" xfId="109"/>
    <cellStyle name="40% - Accent4 4 2" xfId="110"/>
    <cellStyle name="40% - Accent4 5" xfId="111"/>
    <cellStyle name="40% - Accent4 6" xfId="112"/>
    <cellStyle name="40% - Accent5 2" xfId="113"/>
    <cellStyle name="40% - Accent5 2 2" xfId="114"/>
    <cellStyle name="40% - Accent5 3" xfId="115"/>
    <cellStyle name="40% - Accent5 3 2" xfId="116"/>
    <cellStyle name="40% - Accent5 4" xfId="117"/>
    <cellStyle name="40% - Accent5 4 2" xfId="118"/>
    <cellStyle name="40% - Accent5 5" xfId="119"/>
    <cellStyle name="40% - Accent5 6" xfId="120"/>
    <cellStyle name="40% - Accent6 2" xfId="121"/>
    <cellStyle name="40% - Accent6 2 2" xfId="122"/>
    <cellStyle name="40% - Accent6 3" xfId="123"/>
    <cellStyle name="40% - Accent6 3 2" xfId="124"/>
    <cellStyle name="40% - Accent6 4" xfId="125"/>
    <cellStyle name="40% - Accent6 4 2" xfId="126"/>
    <cellStyle name="40% - Accent6 5" xfId="127"/>
    <cellStyle name="40% - Accent6 6" xfId="128"/>
    <cellStyle name="Comma" xfId="168" builtinId="3"/>
    <cellStyle name="Comma 2" xfId="2"/>
    <cellStyle name="Comma 2 2" xfId="3"/>
    <cellStyle name="Comma 2 2 2" xfId="129"/>
    <cellStyle name="Comma 2 3" xfId="173"/>
    <cellStyle name="Comma 3" xfId="4"/>
    <cellStyle name="Comma 4" xfId="5"/>
    <cellStyle name="Comma 5" xfId="6"/>
    <cellStyle name="Comma 5 2" xfId="130"/>
    <cellStyle name="Comma 5 3" xfId="131"/>
    <cellStyle name="Comma 6" xfId="20"/>
    <cellStyle name="Comma 6 2" xfId="172"/>
    <cellStyle name="Comma 7" xfId="132"/>
    <cellStyle name="Comma 8" xfId="133"/>
    <cellStyle name="Currency" xfId="167" builtinId="4"/>
    <cellStyle name="Currency 2" xfId="7"/>
    <cellStyle name="Currency 2 2 2" xfId="134"/>
    <cellStyle name="Currency 3" xfId="18"/>
    <cellStyle name="Currency 3 2" xfId="170"/>
    <cellStyle name="Currency 4" xfId="135"/>
    <cellStyle name="Currency 5" xfId="136"/>
    <cellStyle name="Currency 6" xfId="137"/>
    <cellStyle name="Decimal 1" xfId="23"/>
    <cellStyle name="Decimal 2" xfId="24"/>
    <cellStyle name="Hyperlink" xfId="166" builtinId="8"/>
    <cellStyle name="Hyperlink 2" xfId="8"/>
    <cellStyle name="Hyperlink 3" xfId="138"/>
    <cellStyle name="Hyperlink 4" xfId="174"/>
    <cellStyle name="mmm-dd" xfId="25"/>
    <cellStyle name="mmm-dd  dddd" xfId="26"/>
    <cellStyle name="mmm-dd  hh" xfId="27"/>
    <cellStyle name="mmm-dd  hh:mm" xfId="28"/>
    <cellStyle name="Normal" xfId="0" builtinId="0"/>
    <cellStyle name="Normal 10" xfId="9"/>
    <cellStyle name="Normal 10 2" xfId="139"/>
    <cellStyle name="Normal 10 3" xfId="140"/>
    <cellStyle name="Normal 11 2" xfId="10"/>
    <cellStyle name="Normal 11 2 2" xfId="141"/>
    <cellStyle name="Normal 11 2 3" xfId="142"/>
    <cellStyle name="Normal 12" xfId="11"/>
    <cellStyle name="Normal 12 2" xfId="143"/>
    <cellStyle name="Normal 12 2 2" xfId="144"/>
    <cellStyle name="Normal 12 2 2 2" xfId="145"/>
    <cellStyle name="Normal 12 2 3" xfId="146"/>
    <cellStyle name="Normal 12 2 3 2" xfId="147"/>
    <cellStyle name="Normal 12 2 4" xfId="148"/>
    <cellStyle name="Normal 12 3" xfId="149"/>
    <cellStyle name="Normal 12 3 2" xfId="150"/>
    <cellStyle name="Normal 12 4" xfId="151"/>
    <cellStyle name="Normal 12 4 2" xfId="152"/>
    <cellStyle name="Normal 12 5" xfId="153"/>
    <cellStyle name="Normal 13" xfId="12"/>
    <cellStyle name="Normal 13 2" xfId="21"/>
    <cellStyle name="Normal 18" xfId="154"/>
    <cellStyle name="Normal 2" xfId="1"/>
    <cellStyle name="Normal 2 2" xfId="13"/>
    <cellStyle name="Normal 2 3" xfId="175"/>
    <cellStyle name="Normal 3" xfId="14"/>
    <cellStyle name="Normal 4" xfId="15"/>
    <cellStyle name="Normal 4 2" xfId="29"/>
    <cellStyle name="Normal 4 3" xfId="30"/>
    <cellStyle name="Normal 5" xfId="17"/>
    <cellStyle name="Normal 5 2" xfId="169"/>
    <cellStyle name="Normal 6" xfId="16"/>
    <cellStyle name="Normal 6 2" xfId="155"/>
    <cellStyle name="Normal 6 3" xfId="156"/>
    <cellStyle name="Note 2" xfId="157"/>
    <cellStyle name="Note 2 2" xfId="158"/>
    <cellStyle name="Note 2 2 2" xfId="159"/>
    <cellStyle name="Note 2 3" xfId="160"/>
    <cellStyle name="Note 2 3 2" xfId="161"/>
    <cellStyle name="Note 2 4" xfId="162"/>
    <cellStyle name="Note 3" xfId="163"/>
    <cellStyle name="Note 3 2" xfId="164"/>
    <cellStyle name="Note 4" xfId="165"/>
    <cellStyle name="Percent" xfId="32" builtinId="5"/>
    <cellStyle name="Percent 2" xfId="19"/>
    <cellStyle name="Percent 2 2" xfId="171"/>
    <cellStyle name="Percent 3" xfId="31"/>
  </cellStyles>
  <dxfs count="377">
    <dxf>
      <fill>
        <patternFill>
          <fgColor theme="0"/>
          <bgColor rgb="FFCCFFCC"/>
        </patternFill>
      </fill>
    </dxf>
    <dxf>
      <fill>
        <patternFill>
          <bgColor rgb="FFCCFFFF"/>
        </patternFill>
      </fill>
    </dxf>
    <dxf>
      <fill>
        <patternFill>
          <bgColor rgb="FFFFFFCC"/>
        </patternFill>
      </fill>
    </dxf>
    <dxf>
      <fill>
        <patternFill>
          <fgColor theme="0"/>
          <bgColor rgb="FFCCFFCC"/>
        </patternFill>
      </fill>
    </dxf>
    <dxf>
      <fill>
        <patternFill>
          <bgColor rgb="FFCCFFFF"/>
        </patternFill>
      </fill>
    </dxf>
    <dxf>
      <fill>
        <patternFill>
          <bgColor rgb="FFFFFFCC"/>
        </patternFill>
      </fill>
    </dxf>
    <dxf>
      <fill>
        <patternFill>
          <bgColor theme="1"/>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fgColor rgb="FFFFFFCC"/>
          <bgColor theme="9" tint="0.79998168889431442"/>
        </patternFill>
      </fill>
    </dxf>
    <dxf>
      <fill>
        <patternFill>
          <bgColor theme="8" tint="0.59996337778862885"/>
        </patternFill>
      </fill>
    </dxf>
    <dxf>
      <fill>
        <patternFill>
          <bgColor theme="9" tint="0.79998168889431442"/>
        </patternFill>
      </fill>
    </dxf>
    <dxf>
      <fill>
        <patternFill>
          <bgColor theme="7" tint="0.79998168889431442"/>
        </patternFill>
      </fill>
    </dxf>
    <dxf>
      <fill>
        <patternFill>
          <bgColor theme="8" tint="0.59996337778862885"/>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1"/>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fgColor rgb="FFFFFFCC"/>
          <bgColor theme="9" tint="0.79998168889431442"/>
        </patternFill>
      </fill>
    </dxf>
    <dxf>
      <fill>
        <patternFill>
          <bgColor theme="8" tint="0.59996337778862885"/>
        </patternFill>
      </fill>
    </dxf>
    <dxf>
      <fill>
        <patternFill>
          <bgColor theme="9" tint="0.79998168889431442"/>
        </patternFill>
      </fill>
    </dxf>
    <dxf>
      <fill>
        <patternFill>
          <bgColor theme="7" tint="0.79998168889431442"/>
        </patternFill>
      </fill>
    </dxf>
    <dxf>
      <fill>
        <patternFill>
          <bgColor theme="8" tint="0.59996337778862885"/>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1"/>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fgColor rgb="FFFFFFCC"/>
          <bgColor theme="9" tint="0.79998168889431442"/>
        </patternFill>
      </fill>
    </dxf>
    <dxf>
      <fill>
        <patternFill>
          <bgColor theme="8" tint="0.59996337778862885"/>
        </patternFill>
      </fill>
    </dxf>
    <dxf>
      <fill>
        <patternFill>
          <bgColor theme="9" tint="0.79998168889431442"/>
        </patternFill>
      </fill>
    </dxf>
    <dxf>
      <fill>
        <patternFill>
          <bgColor theme="7" tint="0.79998168889431442"/>
        </patternFill>
      </fill>
    </dxf>
    <dxf>
      <fill>
        <patternFill>
          <bgColor theme="8" tint="0.59996337778862885"/>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1"/>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fgColor rgb="FFFFFFCC"/>
          <bgColor theme="9" tint="0.79998168889431442"/>
        </patternFill>
      </fill>
    </dxf>
    <dxf>
      <fill>
        <patternFill>
          <bgColor theme="8" tint="0.59996337778862885"/>
        </patternFill>
      </fill>
    </dxf>
    <dxf>
      <fill>
        <patternFill>
          <bgColor theme="9" tint="0.79998168889431442"/>
        </patternFill>
      </fill>
    </dxf>
    <dxf>
      <fill>
        <patternFill>
          <bgColor theme="7" tint="0.79998168889431442"/>
        </patternFill>
      </fill>
    </dxf>
    <dxf>
      <fill>
        <patternFill>
          <bgColor theme="8" tint="0.59996337778862885"/>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1"/>
        </patternFill>
      </fill>
    </dxf>
    <dxf>
      <fill>
        <patternFill>
          <bgColor theme="9" tint="0.79998168889431442"/>
        </patternFill>
      </fill>
    </dxf>
    <dxf>
      <fill>
        <patternFill>
          <fgColor rgb="FFFFFFCC"/>
          <bgColor theme="9" tint="0.79998168889431442"/>
        </patternFill>
      </fill>
    </dxf>
    <dxf>
      <fill>
        <patternFill>
          <bgColor theme="9" tint="0.79998168889431442"/>
        </patternFill>
      </fill>
    </dxf>
    <dxf>
      <fill>
        <patternFill>
          <bgColor theme="9" tint="0.79998168889431442"/>
        </patternFill>
      </fill>
    </dxf>
    <dxf>
      <fill>
        <patternFill>
          <bgColor theme="8" tint="0.59996337778862885"/>
        </patternFill>
      </fill>
    </dxf>
    <dxf>
      <fill>
        <patternFill>
          <bgColor theme="9" tint="0.79998168889431442"/>
        </patternFill>
      </fill>
    </dxf>
    <dxf>
      <fill>
        <patternFill>
          <bgColor theme="7" tint="0.79998168889431442"/>
        </patternFill>
      </fill>
    </dxf>
    <dxf>
      <fill>
        <patternFill>
          <bgColor theme="8" tint="0.59996337778862885"/>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1"/>
        </patternFill>
      </fill>
    </dxf>
    <dxf>
      <fill>
        <patternFill>
          <bgColor theme="9" tint="0.79998168889431442"/>
        </patternFill>
      </fill>
    </dxf>
    <dxf>
      <fill>
        <patternFill>
          <bgColor theme="9" tint="0.79998168889431442"/>
        </patternFill>
      </fill>
    </dxf>
    <dxf>
      <fill>
        <patternFill>
          <fgColor rgb="FFFFFFCC"/>
          <bgColor theme="9" tint="0.79998168889431442"/>
        </patternFill>
      </fill>
    </dxf>
    <dxf>
      <fill>
        <patternFill>
          <bgColor theme="8" tint="0.59996337778862885"/>
        </patternFill>
      </fill>
    </dxf>
    <dxf>
      <fill>
        <patternFill>
          <bgColor theme="9" tint="0.79998168889431442"/>
        </patternFill>
      </fill>
    </dxf>
    <dxf>
      <fill>
        <patternFill>
          <bgColor theme="7" tint="0.79998168889431442"/>
        </patternFill>
      </fill>
    </dxf>
    <dxf>
      <fill>
        <patternFill>
          <bgColor theme="8" tint="0.59996337778862885"/>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patternType="solid">
          <bgColor theme="1"/>
        </patternFill>
      </fill>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ill>
        <patternFill>
          <bgColor theme="9" tint="0.79998168889431442"/>
        </patternFill>
      </fill>
    </dxf>
    <dxf>
      <fill>
        <patternFill>
          <bgColor theme="9" tint="0.79998168889431442"/>
        </patternFill>
      </fill>
    </dxf>
    <dxf>
      <font>
        <color theme="0" tint="-0.499984740745262"/>
      </font>
      <fill>
        <patternFill>
          <bgColor theme="0" tint="-0.499984740745262"/>
        </patternFill>
      </fill>
    </dxf>
    <dxf>
      <fill>
        <patternFill>
          <bgColor theme="8" tint="0.59996337778862885"/>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ont>
        <color theme="0" tint="-0.499984740745262"/>
      </font>
      <fill>
        <patternFill>
          <bgColor theme="0" tint="-0.499984740745262"/>
        </patternFill>
      </fill>
    </dxf>
    <dxf>
      <fill>
        <patternFill>
          <bgColor theme="9" tint="0.79998168889431442"/>
        </patternFill>
      </fill>
    </dxf>
    <dxf>
      <font>
        <color theme="0" tint="-0.499984740745262"/>
      </font>
      <fill>
        <patternFill>
          <bgColor theme="0" tint="-0.49998474074526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ont>
        <color theme="0" tint="-0.499984740745262"/>
      </font>
      <fill>
        <patternFill>
          <bgColor theme="0" tint="-0.49998474074526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patternType="solid">
          <bgColor theme="1"/>
        </patternFill>
      </fill>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ill>
        <patternFill>
          <bgColor theme="9" tint="0.79998168889431442"/>
        </patternFill>
      </fill>
    </dxf>
    <dxf>
      <fill>
        <patternFill>
          <bgColor theme="9" tint="0.79998168889431442"/>
        </patternFill>
      </fill>
    </dxf>
    <dxf>
      <font>
        <color theme="0" tint="-0.499984740745262"/>
      </font>
      <fill>
        <patternFill>
          <bgColor theme="0" tint="-0.499984740745262"/>
        </patternFill>
      </fill>
    </dxf>
    <dxf>
      <fill>
        <patternFill>
          <bgColor theme="8" tint="0.59996337778862885"/>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ont>
        <color theme="0" tint="-0.499984740745262"/>
      </font>
      <fill>
        <patternFill>
          <bgColor theme="0" tint="-0.499984740745262"/>
        </patternFill>
      </fill>
    </dxf>
    <dxf>
      <fill>
        <patternFill>
          <bgColor theme="9" tint="0.79998168889431442"/>
        </patternFill>
      </fill>
    </dxf>
    <dxf>
      <font>
        <color theme="0" tint="-0.499984740745262"/>
      </font>
      <fill>
        <patternFill>
          <bgColor theme="0" tint="-0.49998474074526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ont>
        <color theme="0" tint="-0.499984740745262"/>
      </font>
      <fill>
        <patternFill>
          <bgColor theme="0" tint="-0.49998474074526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patternType="solid">
          <bgColor theme="1"/>
        </patternFill>
      </fill>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ill>
        <patternFill>
          <bgColor theme="9" tint="0.79998168889431442"/>
        </patternFill>
      </fill>
    </dxf>
    <dxf>
      <fill>
        <patternFill>
          <bgColor theme="9" tint="0.79998168889431442"/>
        </patternFill>
      </fill>
    </dxf>
    <dxf>
      <font>
        <color theme="0" tint="-0.499984740745262"/>
      </font>
      <fill>
        <patternFill>
          <bgColor theme="0" tint="-0.499984740745262"/>
        </patternFill>
      </fill>
    </dxf>
    <dxf>
      <fill>
        <patternFill>
          <bgColor theme="8" tint="0.59996337778862885"/>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ont>
        <color theme="0" tint="-0.499984740745262"/>
      </font>
      <fill>
        <patternFill>
          <bgColor theme="0" tint="-0.499984740745262"/>
        </patternFill>
      </fill>
    </dxf>
    <dxf>
      <fill>
        <patternFill>
          <bgColor theme="9" tint="0.79998168889431442"/>
        </patternFill>
      </fill>
    </dxf>
    <dxf>
      <font>
        <color theme="0" tint="-0.499984740745262"/>
      </font>
      <fill>
        <patternFill>
          <bgColor theme="0" tint="-0.49998474074526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ont>
        <color theme="0" tint="-0.499984740745262"/>
      </font>
      <fill>
        <patternFill>
          <bgColor theme="0" tint="-0.49998474074526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patternType="solid">
          <bgColor theme="1"/>
        </patternFill>
      </fill>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ill>
        <patternFill>
          <bgColor theme="9" tint="0.79998168889431442"/>
        </patternFill>
      </fill>
    </dxf>
    <dxf>
      <fill>
        <patternFill>
          <bgColor theme="9" tint="0.79998168889431442"/>
        </patternFill>
      </fill>
    </dxf>
    <dxf>
      <font>
        <color theme="0" tint="-0.499984740745262"/>
      </font>
      <fill>
        <patternFill>
          <bgColor theme="0" tint="-0.499984740745262"/>
        </patternFill>
      </fill>
    </dxf>
    <dxf>
      <fill>
        <patternFill>
          <bgColor theme="8" tint="0.59996337778862885"/>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ont>
        <color theme="0" tint="-0.499984740745262"/>
      </font>
      <fill>
        <patternFill>
          <bgColor theme="0" tint="-0.499984740745262"/>
        </patternFill>
      </fill>
    </dxf>
    <dxf>
      <fill>
        <patternFill>
          <bgColor theme="9" tint="0.79998168889431442"/>
        </patternFill>
      </fill>
    </dxf>
    <dxf>
      <font>
        <color theme="0" tint="-0.499984740745262"/>
      </font>
      <fill>
        <patternFill>
          <bgColor theme="0" tint="-0.49998474074526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ont>
        <color theme="0" tint="-0.499984740745262"/>
      </font>
      <fill>
        <patternFill>
          <bgColor theme="0" tint="-0.49998474074526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patternType="solid">
          <bgColor theme="1"/>
        </patternFill>
      </fill>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ill>
        <patternFill>
          <bgColor theme="9" tint="0.79998168889431442"/>
        </patternFill>
      </fill>
    </dxf>
    <dxf>
      <fill>
        <patternFill>
          <bgColor theme="9" tint="0.79998168889431442"/>
        </patternFill>
      </fill>
    </dxf>
    <dxf>
      <font>
        <color theme="0" tint="-0.499984740745262"/>
      </font>
      <fill>
        <patternFill>
          <bgColor theme="0" tint="-0.499984740745262"/>
        </patternFill>
      </fill>
    </dxf>
    <dxf>
      <fill>
        <patternFill>
          <bgColor theme="8" tint="0.59996337778862885"/>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ont>
        <color theme="0" tint="-0.499984740745262"/>
      </font>
      <fill>
        <patternFill>
          <bgColor theme="0" tint="-0.499984740745262"/>
        </patternFill>
      </fill>
    </dxf>
    <dxf>
      <fill>
        <patternFill>
          <bgColor theme="9" tint="0.79998168889431442"/>
        </patternFill>
      </fill>
    </dxf>
    <dxf>
      <font>
        <color theme="0" tint="-0.499984740745262"/>
      </font>
      <fill>
        <patternFill>
          <bgColor theme="0" tint="-0.49998474074526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ont>
        <color theme="0" tint="-0.499984740745262"/>
      </font>
      <fill>
        <patternFill>
          <bgColor theme="0" tint="-0.49998474074526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patternType="solid">
          <bgColor theme="1"/>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ill>
        <patternFill>
          <bgColor theme="9" tint="0.79998168889431442"/>
        </patternFill>
      </fill>
    </dxf>
    <dxf>
      <fill>
        <patternFill>
          <bgColor theme="9" tint="0.79998168889431442"/>
        </patternFill>
      </fill>
    </dxf>
    <dxf>
      <font>
        <color theme="0" tint="-0.499984740745262"/>
      </font>
      <fill>
        <patternFill>
          <bgColor theme="0" tint="-0.499984740745262"/>
        </patternFill>
      </fill>
    </dxf>
    <dxf>
      <fill>
        <patternFill>
          <bgColor theme="8" tint="0.59996337778862885"/>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ont>
        <color theme="0" tint="-0.499984740745262"/>
      </font>
      <fill>
        <patternFill>
          <bgColor theme="0" tint="-0.499984740745262"/>
        </patternFill>
      </fill>
    </dxf>
    <dxf>
      <fill>
        <patternFill>
          <bgColor theme="9" tint="0.79998168889431442"/>
        </patternFill>
      </fill>
    </dxf>
    <dxf>
      <font>
        <color theme="0" tint="-0.499984740745262"/>
      </font>
      <fill>
        <patternFill>
          <bgColor theme="0" tint="-0.49998474074526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ont>
        <color theme="0" tint="-0.499984740745262"/>
      </font>
      <fill>
        <patternFill>
          <bgColor theme="0" tint="-0.49998474074526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ont>
        <color theme="0"/>
      </font>
    </dxf>
    <dxf>
      <font>
        <color theme="0"/>
      </font>
    </dxf>
    <dxf>
      <font>
        <color theme="0"/>
      </font>
    </dxf>
    <dxf>
      <font>
        <color theme="0"/>
      </font>
    </dxf>
    <dxf>
      <font>
        <color theme="0"/>
      </font>
    </dxf>
    <dxf>
      <font>
        <color theme="0"/>
      </font>
    </dxf>
    <dxf>
      <font>
        <color theme="0"/>
      </font>
      <border>
        <left style="thin">
          <color auto="1"/>
        </left>
        <right style="thin">
          <color auto="1"/>
        </right>
        <top style="thin">
          <color auto="1"/>
        </top>
        <bottom style="thin">
          <color auto="1"/>
        </bottom>
      </border>
    </dxf>
    <dxf>
      <font>
        <color theme="0"/>
      </font>
    </dxf>
    <dxf>
      <font>
        <color theme="0"/>
      </font>
    </dxf>
    <dxf>
      <font>
        <color theme="0"/>
      </font>
      <border>
        <left style="thin">
          <color auto="1"/>
        </left>
        <right style="thin">
          <color auto="1"/>
        </right>
        <top style="thin">
          <color auto="1"/>
        </top>
        <bottom style="thin">
          <color auto="1"/>
        </bottom>
        <vertical/>
        <horizontal/>
      </border>
    </dxf>
    <dxf>
      <font>
        <color theme="0"/>
      </font>
      <fill>
        <patternFill patternType="none">
          <bgColor auto="1"/>
        </patternFill>
      </fill>
      <border>
        <left style="thin">
          <color auto="1"/>
        </left>
        <right style="thin">
          <color auto="1"/>
        </right>
        <top style="thin">
          <color auto="1"/>
        </top>
        <bottom style="thin">
          <color auto="1"/>
        </bottom>
        <vertical/>
        <horizontal/>
      </border>
    </dxf>
    <dxf>
      <font>
        <color theme="0"/>
      </font>
      <border>
        <left style="thin">
          <color auto="1"/>
        </left>
        <right style="thin">
          <color auto="1"/>
        </right>
        <top style="thin">
          <color auto="1"/>
        </top>
        <bottom style="thin">
          <color auto="1"/>
        </bottom>
      </border>
    </dxf>
    <dxf>
      <font>
        <color theme="0"/>
      </font>
      <border>
        <left style="thin">
          <color auto="1"/>
        </left>
        <right style="thin">
          <color auto="1"/>
        </right>
        <top style="thin">
          <color auto="1"/>
        </top>
        <bottom style="thin">
          <color auto="1"/>
        </bottom>
        <vertical/>
        <horizontal/>
      </border>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border>
        <left style="thin">
          <color auto="1"/>
        </left>
        <right style="thin">
          <color auto="1"/>
        </right>
        <top style="thin">
          <color auto="1"/>
        </top>
        <bottom style="thin">
          <color auto="1"/>
        </bottom>
        <vertical/>
        <horizontal/>
      </border>
    </dxf>
    <dxf>
      <font>
        <color theme="0"/>
      </font>
    </dxf>
    <dxf>
      <font>
        <color theme="0"/>
      </font>
    </dxf>
    <dxf>
      <font>
        <color theme="0"/>
      </font>
    </dxf>
    <dxf>
      <font>
        <color theme="0"/>
      </font>
    </dxf>
    <dxf>
      <font>
        <color theme="0"/>
      </font>
    </dxf>
    <dxf>
      <font>
        <color theme="0"/>
      </font>
    </dxf>
    <dxf>
      <fill>
        <patternFill>
          <bgColor theme="2" tint="-9.9948118533890809E-2"/>
        </patternFill>
      </fill>
    </dxf>
    <dxf>
      <fill>
        <patternFill>
          <bgColor rgb="FFFF99CC"/>
        </patternFill>
      </fill>
    </dxf>
    <dxf>
      <fill>
        <patternFill>
          <bgColor rgb="FFCCFFCC"/>
        </patternFill>
      </fill>
    </dxf>
    <dxf>
      <fill>
        <patternFill>
          <bgColor theme="9" tint="0.79998168889431442"/>
        </patternFill>
      </fill>
    </dxf>
    <dxf>
      <fill>
        <patternFill>
          <bgColor theme="9" tint="0.79998168889431442"/>
        </patternFill>
      </fill>
    </dxf>
    <dxf>
      <fill>
        <patternFill>
          <bgColor theme="2" tint="-9.9948118533890809E-2"/>
        </patternFill>
      </fill>
    </dxf>
    <dxf>
      <fill>
        <patternFill>
          <bgColor rgb="FFFF99CC"/>
        </patternFill>
      </fill>
    </dxf>
    <dxf>
      <fill>
        <patternFill>
          <bgColor rgb="FFCCFFCC"/>
        </patternFill>
      </fill>
    </dxf>
    <dxf>
      <fill>
        <patternFill>
          <bgColor theme="2" tint="-9.9948118533890809E-2"/>
        </patternFill>
      </fill>
    </dxf>
    <dxf>
      <fill>
        <patternFill>
          <bgColor rgb="FFFF99CC"/>
        </patternFill>
      </fill>
    </dxf>
    <dxf>
      <fill>
        <patternFill>
          <bgColor rgb="FFCCFFCC"/>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border>
        <left style="thin">
          <color auto="1"/>
        </left>
        <right style="thin">
          <color auto="1"/>
        </right>
        <top style="thin">
          <color auto="1"/>
        </top>
        <bottom style="thin">
          <color auto="1"/>
        </bottom>
      </border>
    </dxf>
    <dxf>
      <fill>
        <patternFill>
          <bgColor theme="9" tint="0.79998168889431442"/>
        </patternFill>
      </fill>
      <border>
        <left style="thin">
          <color auto="1"/>
        </left>
        <right style="thin">
          <color auto="1"/>
        </right>
        <top style="thin">
          <color auto="1"/>
        </top>
        <bottom style="thin">
          <color auto="1"/>
        </bottom>
      </border>
    </dxf>
    <dxf>
      <fill>
        <patternFill>
          <bgColor theme="9" tint="0.79998168889431442"/>
        </patternFill>
      </fill>
    </dxf>
    <dxf>
      <fill>
        <patternFill>
          <bgColor theme="9" tint="0.79998168889431442"/>
        </patternFill>
      </fill>
    </dxf>
  </dxfs>
  <tableStyles count="0" defaultTableStyle="TableStyleMedium2" defaultPivotStyle="PivotStyleLight16"/>
  <colors>
    <mruColors>
      <color rgb="FFCCFFCC"/>
      <color rgb="FFCCFFFF"/>
      <color rgb="FFFFFFCC"/>
      <color rgb="FFFF99CC"/>
      <color rgb="FFF7FECE"/>
      <color rgb="FF66FFFF"/>
      <color rgb="FF66FF66"/>
      <color rgb="FF24FC29"/>
      <color rgb="FFFFEFFF"/>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28"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customXml" Target="../customXml/item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DF Fit</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7.5664260717410323E-2"/>
          <c:y val="0.18560185185185185"/>
          <c:w val="0.88073862642169731"/>
          <c:h val="0.72088764946048411"/>
        </c:manualLayout>
      </c:layout>
      <c:scatterChart>
        <c:scatterStyle val="smoothMarker"/>
        <c:varyColors val="0"/>
        <c:ser>
          <c:idx val="0"/>
          <c:order val="0"/>
          <c:spPr>
            <a:ln w="19050" cap="rnd">
              <a:solidFill>
                <a:schemeClr val="accent1"/>
              </a:solidFill>
              <a:round/>
            </a:ln>
            <a:effectLst/>
          </c:spPr>
          <c:marker>
            <c:symbol val="circle"/>
            <c:size val="5"/>
            <c:spPr>
              <a:solidFill>
                <a:schemeClr val="accent1"/>
              </a:solidFill>
              <a:ln w="9525">
                <a:solidFill>
                  <a:schemeClr val="accent1"/>
                </a:solidFill>
              </a:ln>
              <a:effectLst/>
            </c:spPr>
          </c:marker>
          <c:trendline>
            <c:spPr>
              <a:ln w="19050" cap="rnd">
                <a:solidFill>
                  <a:schemeClr val="accent1"/>
                </a:solidFill>
                <a:prstDash val="sysDot"/>
              </a:ln>
              <a:effectLst/>
            </c:spPr>
            <c:trendlineType val="log"/>
            <c:dispRSqr val="1"/>
            <c:dispEq val="1"/>
            <c:trendlineLbl>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rendlineLbl>
          </c:trendline>
          <c:trendline>
            <c:spPr>
              <a:ln w="19050" cap="rnd">
                <a:solidFill>
                  <a:schemeClr val="accent1"/>
                </a:solidFill>
                <a:prstDash val="sysDot"/>
              </a:ln>
              <a:effectLst/>
            </c:spPr>
            <c:trendlineType val="power"/>
            <c:dispRSqr val="1"/>
            <c:dispEq val="1"/>
            <c:trendlineLbl>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rendlineLbl>
          </c:trendline>
          <c:trendline>
            <c:spPr>
              <a:ln w="19050" cap="rnd">
                <a:solidFill>
                  <a:schemeClr val="accent1"/>
                </a:solidFill>
                <a:prstDash val="sysDot"/>
              </a:ln>
              <a:effectLst/>
            </c:spPr>
            <c:trendlineType val="power"/>
            <c:dispRSqr val="0"/>
            <c:dispEq val="0"/>
          </c:trendline>
          <c:trendline>
            <c:spPr>
              <a:ln w="19050" cap="rnd">
                <a:solidFill>
                  <a:schemeClr val="accent1"/>
                </a:solidFill>
                <a:prstDash val="sysDot"/>
              </a:ln>
              <a:effectLst/>
            </c:spPr>
            <c:trendlineType val="exp"/>
            <c:dispRSqr val="1"/>
            <c:dispEq val="1"/>
            <c:trendlineLbl>
              <c:layout>
                <c:manualLayout>
                  <c:x val="-0.29725196850393698"/>
                  <c:y val="-4.683034412365121E-2"/>
                </c:manualLayout>
              </c:layout>
              <c:numFmt formatCode="General" sourceLinked="0"/>
              <c:spPr>
                <a:noFill/>
                <a:ln>
                  <a:noFill/>
                </a:ln>
                <a:effectLst/>
              </c:spPr>
              <c:txPr>
                <a:bodyPr rot="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n-US"/>
                </a:p>
              </c:txPr>
            </c:trendlineLbl>
          </c:trendline>
          <c:xVal>
            <c:numRef>
              <c:f>'Distribution Factor'!$S$3:$S$53</c:f>
              <c:numCache>
                <c:formatCode>General</c:formatCode>
                <c:ptCount val="51"/>
                <c:pt idx="0">
                  <c:v>1</c:v>
                </c:pt>
                <c:pt idx="1">
                  <c:v>0.98</c:v>
                </c:pt>
                <c:pt idx="2">
                  <c:v>0.96</c:v>
                </c:pt>
                <c:pt idx="3">
                  <c:v>0.94</c:v>
                </c:pt>
                <c:pt idx="4">
                  <c:v>0.92</c:v>
                </c:pt>
                <c:pt idx="5">
                  <c:v>0.9</c:v>
                </c:pt>
                <c:pt idx="6">
                  <c:v>0.88</c:v>
                </c:pt>
                <c:pt idx="7">
                  <c:v>0.86</c:v>
                </c:pt>
                <c:pt idx="8">
                  <c:v>0.84</c:v>
                </c:pt>
                <c:pt idx="9">
                  <c:v>0.82</c:v>
                </c:pt>
                <c:pt idx="10">
                  <c:v>0.8</c:v>
                </c:pt>
                <c:pt idx="11">
                  <c:v>0.78</c:v>
                </c:pt>
                <c:pt idx="12">
                  <c:v>0.76</c:v>
                </c:pt>
                <c:pt idx="13">
                  <c:v>0.74</c:v>
                </c:pt>
                <c:pt idx="14">
                  <c:v>0.72</c:v>
                </c:pt>
                <c:pt idx="15">
                  <c:v>0.7</c:v>
                </c:pt>
                <c:pt idx="16">
                  <c:v>0.68</c:v>
                </c:pt>
                <c:pt idx="17">
                  <c:v>0.66</c:v>
                </c:pt>
                <c:pt idx="18">
                  <c:v>0.64</c:v>
                </c:pt>
                <c:pt idx="19">
                  <c:v>0.62</c:v>
                </c:pt>
                <c:pt idx="20">
                  <c:v>0.6</c:v>
                </c:pt>
                <c:pt idx="21">
                  <c:v>0.57999999999999996</c:v>
                </c:pt>
                <c:pt idx="22">
                  <c:v>0.56000000000000005</c:v>
                </c:pt>
                <c:pt idx="23">
                  <c:v>0.54</c:v>
                </c:pt>
                <c:pt idx="24">
                  <c:v>0.52</c:v>
                </c:pt>
                <c:pt idx="25">
                  <c:v>0.5</c:v>
                </c:pt>
                <c:pt idx="26">
                  <c:v>0.48</c:v>
                </c:pt>
                <c:pt idx="27">
                  <c:v>0.46</c:v>
                </c:pt>
                <c:pt idx="28">
                  <c:v>0.44</c:v>
                </c:pt>
                <c:pt idx="29">
                  <c:v>0.42</c:v>
                </c:pt>
                <c:pt idx="30">
                  <c:v>0.4</c:v>
                </c:pt>
                <c:pt idx="31">
                  <c:v>0.37999999999999901</c:v>
                </c:pt>
                <c:pt idx="32">
                  <c:v>0.35999999999999899</c:v>
                </c:pt>
                <c:pt idx="33">
                  <c:v>0.33999999999999903</c:v>
                </c:pt>
                <c:pt idx="34">
                  <c:v>0.31999999999999901</c:v>
                </c:pt>
                <c:pt idx="35">
                  <c:v>0.29999999999999899</c:v>
                </c:pt>
                <c:pt idx="36">
                  <c:v>0.27999999999999903</c:v>
                </c:pt>
                <c:pt idx="37">
                  <c:v>0.25999999999999901</c:v>
                </c:pt>
                <c:pt idx="38">
                  <c:v>0.23999999999999899</c:v>
                </c:pt>
                <c:pt idx="39">
                  <c:v>0.219999999999999</c:v>
                </c:pt>
                <c:pt idx="40">
                  <c:v>0.19999999999999901</c:v>
                </c:pt>
                <c:pt idx="41">
                  <c:v>0.17999999999999899</c:v>
                </c:pt>
                <c:pt idx="42">
                  <c:v>0.159999999999999</c:v>
                </c:pt>
                <c:pt idx="43">
                  <c:v>0.13999999999999899</c:v>
                </c:pt>
                <c:pt idx="44">
                  <c:v>0.119999999999999</c:v>
                </c:pt>
                <c:pt idx="45">
                  <c:v>9.9999999999999006E-2</c:v>
                </c:pt>
                <c:pt idx="46">
                  <c:v>7.9999999999999002E-2</c:v>
                </c:pt>
                <c:pt idx="47">
                  <c:v>5.9999999999998901E-2</c:v>
                </c:pt>
                <c:pt idx="48">
                  <c:v>3.9999999999998898E-2</c:v>
                </c:pt>
                <c:pt idx="49">
                  <c:v>1.9999999999999001E-2</c:v>
                </c:pt>
                <c:pt idx="50">
                  <c:v>0</c:v>
                </c:pt>
              </c:numCache>
            </c:numRef>
          </c:xVal>
          <c:yVal>
            <c:numRef>
              <c:f>'Distribution Factor'!$T$3:$T$53</c:f>
              <c:numCache>
                <c:formatCode>General</c:formatCode>
                <c:ptCount val="51"/>
                <c:pt idx="0">
                  <c:v>1</c:v>
                </c:pt>
                <c:pt idx="5">
                  <c:v>0.95</c:v>
                </c:pt>
                <c:pt idx="10">
                  <c:v>0.9</c:v>
                </c:pt>
                <c:pt idx="25">
                  <c:v>0.76400000000000001</c:v>
                </c:pt>
                <c:pt idx="35">
                  <c:v>0.68</c:v>
                </c:pt>
                <c:pt idx="45">
                  <c:v>0.61</c:v>
                </c:pt>
                <c:pt idx="49">
                  <c:v>0.59</c:v>
                </c:pt>
                <c:pt idx="50">
                  <c:v>0.57699999999999996</c:v>
                </c:pt>
              </c:numCache>
            </c:numRef>
          </c:yVal>
          <c:smooth val="1"/>
          <c:extLst>
            <c:ext xmlns:c16="http://schemas.microsoft.com/office/drawing/2014/chart" uri="{C3380CC4-5D6E-409C-BE32-E72D297353CC}">
              <c16:uniqueId val="{00000000-19AE-4FD3-8EF6-358126CF7805}"/>
            </c:ext>
          </c:extLst>
        </c:ser>
        <c:dLbls>
          <c:showLegendKey val="0"/>
          <c:showVal val="0"/>
          <c:showCatName val="0"/>
          <c:showSerName val="0"/>
          <c:showPercent val="0"/>
          <c:showBubbleSize val="0"/>
        </c:dLbls>
        <c:axId val="434307072"/>
        <c:axId val="434308608"/>
      </c:scatterChart>
      <c:valAx>
        <c:axId val="434307072"/>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34308608"/>
        <c:crosses val="autoZero"/>
        <c:crossBetween val="midCat"/>
      </c:valAx>
      <c:valAx>
        <c:axId val="434308608"/>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34307072"/>
        <c:crosses val="autoZero"/>
        <c:crossBetween val="midCat"/>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1.xml"/><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5</xdr:col>
      <xdr:colOff>0</xdr:colOff>
      <xdr:row>1</xdr:row>
      <xdr:rowOff>0</xdr:rowOff>
    </xdr:from>
    <xdr:to>
      <xdr:col>16</xdr:col>
      <xdr:colOff>257514</xdr:colOff>
      <xdr:row>45</xdr:row>
      <xdr:rowOff>96982</xdr:rowOff>
    </xdr:to>
    <xdr:pic>
      <xdr:nvPicPr>
        <xdr:cNvPr id="2"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048000" y="190500"/>
          <a:ext cx="6963114" cy="8478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23</xdr:col>
      <xdr:colOff>0</xdr:colOff>
      <xdr:row>1</xdr:row>
      <xdr:rowOff>0</xdr:rowOff>
    </xdr:from>
    <xdr:to>
      <xdr:col>30</xdr:col>
      <xdr:colOff>304800</xdr:colOff>
      <xdr:row>15</xdr:row>
      <xdr:rowOff>76200</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theme/theme1.xml><?xml version="1.0" encoding="utf-8"?>
<a:theme xmlns:a="http://schemas.openxmlformats.org/drawingml/2006/main" name="Office Theme">
  <a:themeElements>
    <a:clrScheme name="BPA Bright">
      <a:dk1>
        <a:sysClr val="windowText" lastClr="000000"/>
      </a:dk1>
      <a:lt1>
        <a:sysClr val="window" lastClr="FFFFFF"/>
      </a:lt1>
      <a:dk2>
        <a:srgbClr val="1F497D"/>
      </a:dk2>
      <a:lt2>
        <a:srgbClr val="EEECE1"/>
      </a:lt2>
      <a:accent1>
        <a:srgbClr val="685BC7"/>
      </a:accent1>
      <a:accent2>
        <a:srgbClr val="0079C1"/>
      </a:accent2>
      <a:accent3>
        <a:srgbClr val="5091CD"/>
      </a:accent3>
      <a:accent4>
        <a:srgbClr val="1CBECA"/>
      </a:accent4>
      <a:accent5>
        <a:srgbClr val="C1D82F"/>
      </a:accent5>
      <a:accent6>
        <a:srgbClr val="FFD200"/>
      </a:accent6>
      <a:hlink>
        <a:srgbClr val="0000FF"/>
      </a:hlink>
      <a:folHlink>
        <a:srgbClr val="800080"/>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P55"/>
  <sheetViews>
    <sheetView showGridLines="0" zoomScale="110" zoomScaleNormal="110" zoomScaleSheetLayoutView="115" workbookViewId="0">
      <selection activeCell="C5" sqref="C5"/>
    </sheetView>
  </sheetViews>
  <sheetFormatPr defaultRowHeight="12.75" x14ac:dyDescent="0.2"/>
  <cols>
    <col min="1" max="1" width="3.140625" style="47" customWidth="1"/>
    <col min="2" max="2" width="2.7109375" style="47" customWidth="1"/>
    <col min="3" max="3" width="100.7109375" style="47" customWidth="1"/>
    <col min="4" max="4" width="2.7109375" style="47" customWidth="1"/>
    <col min="5" max="15" width="9.140625" style="47"/>
    <col min="16" max="16" width="100.7109375" style="47" customWidth="1"/>
    <col min="17" max="256" width="9.140625" style="47"/>
    <col min="257" max="257" width="3.140625" style="47" customWidth="1"/>
    <col min="258" max="258" width="2.7109375" style="47" customWidth="1"/>
    <col min="259" max="259" width="100.7109375" style="47" customWidth="1"/>
    <col min="260" max="260" width="2.7109375" style="47" customWidth="1"/>
    <col min="261" max="271" width="9.140625" style="47"/>
    <col min="272" max="272" width="100.7109375" style="47" customWidth="1"/>
    <col min="273" max="512" width="9.140625" style="47"/>
    <col min="513" max="513" width="3.140625" style="47" customWidth="1"/>
    <col min="514" max="514" width="2.7109375" style="47" customWidth="1"/>
    <col min="515" max="515" width="100.7109375" style="47" customWidth="1"/>
    <col min="516" max="516" width="2.7109375" style="47" customWidth="1"/>
    <col min="517" max="527" width="9.140625" style="47"/>
    <col min="528" max="528" width="100.7109375" style="47" customWidth="1"/>
    <col min="529" max="768" width="9.140625" style="47"/>
    <col min="769" max="769" width="3.140625" style="47" customWidth="1"/>
    <col min="770" max="770" width="2.7109375" style="47" customWidth="1"/>
    <col min="771" max="771" width="100.7109375" style="47" customWidth="1"/>
    <col min="772" max="772" width="2.7109375" style="47" customWidth="1"/>
    <col min="773" max="783" width="9.140625" style="47"/>
    <col min="784" max="784" width="100.7109375" style="47" customWidth="1"/>
    <col min="785" max="1024" width="9.140625" style="47"/>
    <col min="1025" max="1025" width="3.140625" style="47" customWidth="1"/>
    <col min="1026" max="1026" width="2.7109375" style="47" customWidth="1"/>
    <col min="1027" max="1027" width="100.7109375" style="47" customWidth="1"/>
    <col min="1028" max="1028" width="2.7109375" style="47" customWidth="1"/>
    <col min="1029" max="1039" width="9.140625" style="47"/>
    <col min="1040" max="1040" width="100.7109375" style="47" customWidth="1"/>
    <col min="1041" max="1280" width="9.140625" style="47"/>
    <col min="1281" max="1281" width="3.140625" style="47" customWidth="1"/>
    <col min="1282" max="1282" width="2.7109375" style="47" customWidth="1"/>
    <col min="1283" max="1283" width="100.7109375" style="47" customWidth="1"/>
    <col min="1284" max="1284" width="2.7109375" style="47" customWidth="1"/>
    <col min="1285" max="1295" width="9.140625" style="47"/>
    <col min="1296" max="1296" width="100.7109375" style="47" customWidth="1"/>
    <col min="1297" max="1536" width="9.140625" style="47"/>
    <col min="1537" max="1537" width="3.140625" style="47" customWidth="1"/>
    <col min="1538" max="1538" width="2.7109375" style="47" customWidth="1"/>
    <col min="1539" max="1539" width="100.7109375" style="47" customWidth="1"/>
    <col min="1540" max="1540" width="2.7109375" style="47" customWidth="1"/>
    <col min="1541" max="1551" width="9.140625" style="47"/>
    <col min="1552" max="1552" width="100.7109375" style="47" customWidth="1"/>
    <col min="1553" max="1792" width="9.140625" style="47"/>
    <col min="1793" max="1793" width="3.140625" style="47" customWidth="1"/>
    <col min="1794" max="1794" width="2.7109375" style="47" customWidth="1"/>
    <col min="1795" max="1795" width="100.7109375" style="47" customWidth="1"/>
    <col min="1796" max="1796" width="2.7109375" style="47" customWidth="1"/>
    <col min="1797" max="1807" width="9.140625" style="47"/>
    <col min="1808" max="1808" width="100.7109375" style="47" customWidth="1"/>
    <col min="1809" max="2048" width="9.140625" style="47"/>
    <col min="2049" max="2049" width="3.140625" style="47" customWidth="1"/>
    <col min="2050" max="2050" width="2.7109375" style="47" customWidth="1"/>
    <col min="2051" max="2051" width="100.7109375" style="47" customWidth="1"/>
    <col min="2052" max="2052" width="2.7109375" style="47" customWidth="1"/>
    <col min="2053" max="2063" width="9.140625" style="47"/>
    <col min="2064" max="2064" width="100.7109375" style="47" customWidth="1"/>
    <col min="2065" max="2304" width="9.140625" style="47"/>
    <col min="2305" max="2305" width="3.140625" style="47" customWidth="1"/>
    <col min="2306" max="2306" width="2.7109375" style="47" customWidth="1"/>
    <col min="2307" max="2307" width="100.7109375" style="47" customWidth="1"/>
    <col min="2308" max="2308" width="2.7109375" style="47" customWidth="1"/>
    <col min="2309" max="2319" width="9.140625" style="47"/>
    <col min="2320" max="2320" width="100.7109375" style="47" customWidth="1"/>
    <col min="2321" max="2560" width="9.140625" style="47"/>
    <col min="2561" max="2561" width="3.140625" style="47" customWidth="1"/>
    <col min="2562" max="2562" width="2.7109375" style="47" customWidth="1"/>
    <col min="2563" max="2563" width="100.7109375" style="47" customWidth="1"/>
    <col min="2564" max="2564" width="2.7109375" style="47" customWidth="1"/>
    <col min="2565" max="2575" width="9.140625" style="47"/>
    <col min="2576" max="2576" width="100.7109375" style="47" customWidth="1"/>
    <col min="2577" max="2816" width="9.140625" style="47"/>
    <col min="2817" max="2817" width="3.140625" style="47" customWidth="1"/>
    <col min="2818" max="2818" width="2.7109375" style="47" customWidth="1"/>
    <col min="2819" max="2819" width="100.7109375" style="47" customWidth="1"/>
    <col min="2820" max="2820" width="2.7109375" style="47" customWidth="1"/>
    <col min="2821" max="2831" width="9.140625" style="47"/>
    <col min="2832" max="2832" width="100.7109375" style="47" customWidth="1"/>
    <col min="2833" max="3072" width="9.140625" style="47"/>
    <col min="3073" max="3073" width="3.140625" style="47" customWidth="1"/>
    <col min="3074" max="3074" width="2.7109375" style="47" customWidth="1"/>
    <col min="3075" max="3075" width="100.7109375" style="47" customWidth="1"/>
    <col min="3076" max="3076" width="2.7109375" style="47" customWidth="1"/>
    <col min="3077" max="3087" width="9.140625" style="47"/>
    <col min="3088" max="3088" width="100.7109375" style="47" customWidth="1"/>
    <col min="3089" max="3328" width="9.140625" style="47"/>
    <col min="3329" max="3329" width="3.140625" style="47" customWidth="1"/>
    <col min="3330" max="3330" width="2.7109375" style="47" customWidth="1"/>
    <col min="3331" max="3331" width="100.7109375" style="47" customWidth="1"/>
    <col min="3332" max="3332" width="2.7109375" style="47" customWidth="1"/>
    <col min="3333" max="3343" width="9.140625" style="47"/>
    <col min="3344" max="3344" width="100.7109375" style="47" customWidth="1"/>
    <col min="3345" max="3584" width="9.140625" style="47"/>
    <col min="3585" max="3585" width="3.140625" style="47" customWidth="1"/>
    <col min="3586" max="3586" width="2.7109375" style="47" customWidth="1"/>
    <col min="3587" max="3587" width="100.7109375" style="47" customWidth="1"/>
    <col min="3588" max="3588" width="2.7109375" style="47" customWidth="1"/>
    <col min="3589" max="3599" width="9.140625" style="47"/>
    <col min="3600" max="3600" width="100.7109375" style="47" customWidth="1"/>
    <col min="3601" max="3840" width="9.140625" style="47"/>
    <col min="3841" max="3841" width="3.140625" style="47" customWidth="1"/>
    <col min="3842" max="3842" width="2.7109375" style="47" customWidth="1"/>
    <col min="3843" max="3843" width="100.7109375" style="47" customWidth="1"/>
    <col min="3844" max="3844" width="2.7109375" style="47" customWidth="1"/>
    <col min="3845" max="3855" width="9.140625" style="47"/>
    <col min="3856" max="3856" width="100.7109375" style="47" customWidth="1"/>
    <col min="3857" max="4096" width="9.140625" style="47"/>
    <col min="4097" max="4097" width="3.140625" style="47" customWidth="1"/>
    <col min="4098" max="4098" width="2.7109375" style="47" customWidth="1"/>
    <col min="4099" max="4099" width="100.7109375" style="47" customWidth="1"/>
    <col min="4100" max="4100" width="2.7109375" style="47" customWidth="1"/>
    <col min="4101" max="4111" width="9.140625" style="47"/>
    <col min="4112" max="4112" width="100.7109375" style="47" customWidth="1"/>
    <col min="4113" max="4352" width="9.140625" style="47"/>
    <col min="4353" max="4353" width="3.140625" style="47" customWidth="1"/>
    <col min="4354" max="4354" width="2.7109375" style="47" customWidth="1"/>
    <col min="4355" max="4355" width="100.7109375" style="47" customWidth="1"/>
    <col min="4356" max="4356" width="2.7109375" style="47" customWidth="1"/>
    <col min="4357" max="4367" width="9.140625" style="47"/>
    <col min="4368" max="4368" width="100.7109375" style="47" customWidth="1"/>
    <col min="4369" max="4608" width="9.140625" style="47"/>
    <col min="4609" max="4609" width="3.140625" style="47" customWidth="1"/>
    <col min="4610" max="4610" width="2.7109375" style="47" customWidth="1"/>
    <col min="4611" max="4611" width="100.7109375" style="47" customWidth="1"/>
    <col min="4612" max="4612" width="2.7109375" style="47" customWidth="1"/>
    <col min="4613" max="4623" width="9.140625" style="47"/>
    <col min="4624" max="4624" width="100.7109375" style="47" customWidth="1"/>
    <col min="4625" max="4864" width="9.140625" style="47"/>
    <col min="4865" max="4865" width="3.140625" style="47" customWidth="1"/>
    <col min="4866" max="4866" width="2.7109375" style="47" customWidth="1"/>
    <col min="4867" max="4867" width="100.7109375" style="47" customWidth="1"/>
    <col min="4868" max="4868" width="2.7109375" style="47" customWidth="1"/>
    <col min="4869" max="4879" width="9.140625" style="47"/>
    <col min="4880" max="4880" width="100.7109375" style="47" customWidth="1"/>
    <col min="4881" max="5120" width="9.140625" style="47"/>
    <col min="5121" max="5121" width="3.140625" style="47" customWidth="1"/>
    <col min="5122" max="5122" width="2.7109375" style="47" customWidth="1"/>
    <col min="5123" max="5123" width="100.7109375" style="47" customWidth="1"/>
    <col min="5124" max="5124" width="2.7109375" style="47" customWidth="1"/>
    <col min="5125" max="5135" width="9.140625" style="47"/>
    <col min="5136" max="5136" width="100.7109375" style="47" customWidth="1"/>
    <col min="5137" max="5376" width="9.140625" style="47"/>
    <col min="5377" max="5377" width="3.140625" style="47" customWidth="1"/>
    <col min="5378" max="5378" width="2.7109375" style="47" customWidth="1"/>
    <col min="5379" max="5379" width="100.7109375" style="47" customWidth="1"/>
    <col min="5380" max="5380" width="2.7109375" style="47" customWidth="1"/>
    <col min="5381" max="5391" width="9.140625" style="47"/>
    <col min="5392" max="5392" width="100.7109375" style="47" customWidth="1"/>
    <col min="5393" max="5632" width="9.140625" style="47"/>
    <col min="5633" max="5633" width="3.140625" style="47" customWidth="1"/>
    <col min="5634" max="5634" width="2.7109375" style="47" customWidth="1"/>
    <col min="5635" max="5635" width="100.7109375" style="47" customWidth="1"/>
    <col min="5636" max="5636" width="2.7109375" style="47" customWidth="1"/>
    <col min="5637" max="5647" width="9.140625" style="47"/>
    <col min="5648" max="5648" width="100.7109375" style="47" customWidth="1"/>
    <col min="5649" max="5888" width="9.140625" style="47"/>
    <col min="5889" max="5889" width="3.140625" style="47" customWidth="1"/>
    <col min="5890" max="5890" width="2.7109375" style="47" customWidth="1"/>
    <col min="5891" max="5891" width="100.7109375" style="47" customWidth="1"/>
    <col min="5892" max="5892" width="2.7109375" style="47" customWidth="1"/>
    <col min="5893" max="5903" width="9.140625" style="47"/>
    <col min="5904" max="5904" width="100.7109375" style="47" customWidth="1"/>
    <col min="5905" max="6144" width="9.140625" style="47"/>
    <col min="6145" max="6145" width="3.140625" style="47" customWidth="1"/>
    <col min="6146" max="6146" width="2.7109375" style="47" customWidth="1"/>
    <col min="6147" max="6147" width="100.7109375" style="47" customWidth="1"/>
    <col min="6148" max="6148" width="2.7109375" style="47" customWidth="1"/>
    <col min="6149" max="6159" width="9.140625" style="47"/>
    <col min="6160" max="6160" width="100.7109375" style="47" customWidth="1"/>
    <col min="6161" max="6400" width="9.140625" style="47"/>
    <col min="6401" max="6401" width="3.140625" style="47" customWidth="1"/>
    <col min="6402" max="6402" width="2.7109375" style="47" customWidth="1"/>
    <col min="6403" max="6403" width="100.7109375" style="47" customWidth="1"/>
    <col min="6404" max="6404" width="2.7109375" style="47" customWidth="1"/>
    <col min="6405" max="6415" width="9.140625" style="47"/>
    <col min="6416" max="6416" width="100.7109375" style="47" customWidth="1"/>
    <col min="6417" max="6656" width="9.140625" style="47"/>
    <col min="6657" max="6657" width="3.140625" style="47" customWidth="1"/>
    <col min="6658" max="6658" width="2.7109375" style="47" customWidth="1"/>
    <col min="6659" max="6659" width="100.7109375" style="47" customWidth="1"/>
    <col min="6660" max="6660" width="2.7109375" style="47" customWidth="1"/>
    <col min="6661" max="6671" width="9.140625" style="47"/>
    <col min="6672" max="6672" width="100.7109375" style="47" customWidth="1"/>
    <col min="6673" max="6912" width="9.140625" style="47"/>
    <col min="6913" max="6913" width="3.140625" style="47" customWidth="1"/>
    <col min="6914" max="6914" width="2.7109375" style="47" customWidth="1"/>
    <col min="6915" max="6915" width="100.7109375" style="47" customWidth="1"/>
    <col min="6916" max="6916" width="2.7109375" style="47" customWidth="1"/>
    <col min="6917" max="6927" width="9.140625" style="47"/>
    <col min="6928" max="6928" width="100.7109375" style="47" customWidth="1"/>
    <col min="6929" max="7168" width="9.140625" style="47"/>
    <col min="7169" max="7169" width="3.140625" style="47" customWidth="1"/>
    <col min="7170" max="7170" width="2.7109375" style="47" customWidth="1"/>
    <col min="7171" max="7171" width="100.7109375" style="47" customWidth="1"/>
    <col min="7172" max="7172" width="2.7109375" style="47" customWidth="1"/>
    <col min="7173" max="7183" width="9.140625" style="47"/>
    <col min="7184" max="7184" width="100.7109375" style="47" customWidth="1"/>
    <col min="7185" max="7424" width="9.140625" style="47"/>
    <col min="7425" max="7425" width="3.140625" style="47" customWidth="1"/>
    <col min="7426" max="7426" width="2.7109375" style="47" customWidth="1"/>
    <col min="7427" max="7427" width="100.7109375" style="47" customWidth="1"/>
    <col min="7428" max="7428" width="2.7109375" style="47" customWidth="1"/>
    <col min="7429" max="7439" width="9.140625" style="47"/>
    <col min="7440" max="7440" width="100.7109375" style="47" customWidth="1"/>
    <col min="7441" max="7680" width="9.140625" style="47"/>
    <col min="7681" max="7681" width="3.140625" style="47" customWidth="1"/>
    <col min="7682" max="7682" width="2.7109375" style="47" customWidth="1"/>
    <col min="7683" max="7683" width="100.7109375" style="47" customWidth="1"/>
    <col min="7684" max="7684" width="2.7109375" style="47" customWidth="1"/>
    <col min="7685" max="7695" width="9.140625" style="47"/>
    <col min="7696" max="7696" width="100.7109375" style="47" customWidth="1"/>
    <col min="7697" max="7936" width="9.140625" style="47"/>
    <col min="7937" max="7937" width="3.140625" style="47" customWidth="1"/>
    <col min="7938" max="7938" width="2.7109375" style="47" customWidth="1"/>
    <col min="7939" max="7939" width="100.7109375" style="47" customWidth="1"/>
    <col min="7940" max="7940" width="2.7109375" style="47" customWidth="1"/>
    <col min="7941" max="7951" width="9.140625" style="47"/>
    <col min="7952" max="7952" width="100.7109375" style="47" customWidth="1"/>
    <col min="7953" max="8192" width="9.140625" style="47"/>
    <col min="8193" max="8193" width="3.140625" style="47" customWidth="1"/>
    <col min="8194" max="8194" width="2.7109375" style="47" customWidth="1"/>
    <col min="8195" max="8195" width="100.7109375" style="47" customWidth="1"/>
    <col min="8196" max="8196" width="2.7109375" style="47" customWidth="1"/>
    <col min="8197" max="8207" width="9.140625" style="47"/>
    <col min="8208" max="8208" width="100.7109375" style="47" customWidth="1"/>
    <col min="8209" max="8448" width="9.140625" style="47"/>
    <col min="8449" max="8449" width="3.140625" style="47" customWidth="1"/>
    <col min="8450" max="8450" width="2.7109375" style="47" customWidth="1"/>
    <col min="8451" max="8451" width="100.7109375" style="47" customWidth="1"/>
    <col min="8452" max="8452" width="2.7109375" style="47" customWidth="1"/>
    <col min="8453" max="8463" width="9.140625" style="47"/>
    <col min="8464" max="8464" width="100.7109375" style="47" customWidth="1"/>
    <col min="8465" max="8704" width="9.140625" style="47"/>
    <col min="8705" max="8705" width="3.140625" style="47" customWidth="1"/>
    <col min="8706" max="8706" width="2.7109375" style="47" customWidth="1"/>
    <col min="8707" max="8707" width="100.7109375" style="47" customWidth="1"/>
    <col min="8708" max="8708" width="2.7109375" style="47" customWidth="1"/>
    <col min="8709" max="8719" width="9.140625" style="47"/>
    <col min="8720" max="8720" width="100.7109375" style="47" customWidth="1"/>
    <col min="8721" max="8960" width="9.140625" style="47"/>
    <col min="8961" max="8961" width="3.140625" style="47" customWidth="1"/>
    <col min="8962" max="8962" width="2.7109375" style="47" customWidth="1"/>
    <col min="8963" max="8963" width="100.7109375" style="47" customWidth="1"/>
    <col min="8964" max="8964" width="2.7109375" style="47" customWidth="1"/>
    <col min="8965" max="8975" width="9.140625" style="47"/>
    <col min="8976" max="8976" width="100.7109375" style="47" customWidth="1"/>
    <col min="8977" max="9216" width="9.140625" style="47"/>
    <col min="9217" max="9217" width="3.140625" style="47" customWidth="1"/>
    <col min="9218" max="9218" width="2.7109375" style="47" customWidth="1"/>
    <col min="9219" max="9219" width="100.7109375" style="47" customWidth="1"/>
    <col min="9220" max="9220" width="2.7109375" style="47" customWidth="1"/>
    <col min="9221" max="9231" width="9.140625" style="47"/>
    <col min="9232" max="9232" width="100.7109375" style="47" customWidth="1"/>
    <col min="9233" max="9472" width="9.140625" style="47"/>
    <col min="9473" max="9473" width="3.140625" style="47" customWidth="1"/>
    <col min="9474" max="9474" width="2.7109375" style="47" customWidth="1"/>
    <col min="9475" max="9475" width="100.7109375" style="47" customWidth="1"/>
    <col min="9476" max="9476" width="2.7109375" style="47" customWidth="1"/>
    <col min="9477" max="9487" width="9.140625" style="47"/>
    <col min="9488" max="9488" width="100.7109375" style="47" customWidth="1"/>
    <col min="9489" max="9728" width="9.140625" style="47"/>
    <col min="9729" max="9729" width="3.140625" style="47" customWidth="1"/>
    <col min="9730" max="9730" width="2.7109375" style="47" customWidth="1"/>
    <col min="9731" max="9731" width="100.7109375" style="47" customWidth="1"/>
    <col min="9732" max="9732" width="2.7109375" style="47" customWidth="1"/>
    <col min="9733" max="9743" width="9.140625" style="47"/>
    <col min="9744" max="9744" width="100.7109375" style="47" customWidth="1"/>
    <col min="9745" max="9984" width="9.140625" style="47"/>
    <col min="9985" max="9985" width="3.140625" style="47" customWidth="1"/>
    <col min="9986" max="9986" width="2.7109375" style="47" customWidth="1"/>
    <col min="9987" max="9987" width="100.7109375" style="47" customWidth="1"/>
    <col min="9988" max="9988" width="2.7109375" style="47" customWidth="1"/>
    <col min="9989" max="9999" width="9.140625" style="47"/>
    <col min="10000" max="10000" width="100.7109375" style="47" customWidth="1"/>
    <col min="10001" max="10240" width="9.140625" style="47"/>
    <col min="10241" max="10241" width="3.140625" style="47" customWidth="1"/>
    <col min="10242" max="10242" width="2.7109375" style="47" customWidth="1"/>
    <col min="10243" max="10243" width="100.7109375" style="47" customWidth="1"/>
    <col min="10244" max="10244" width="2.7109375" style="47" customWidth="1"/>
    <col min="10245" max="10255" width="9.140625" style="47"/>
    <col min="10256" max="10256" width="100.7109375" style="47" customWidth="1"/>
    <col min="10257" max="10496" width="9.140625" style="47"/>
    <col min="10497" max="10497" width="3.140625" style="47" customWidth="1"/>
    <col min="10498" max="10498" width="2.7109375" style="47" customWidth="1"/>
    <col min="10499" max="10499" width="100.7109375" style="47" customWidth="1"/>
    <col min="10500" max="10500" width="2.7109375" style="47" customWidth="1"/>
    <col min="10501" max="10511" width="9.140625" style="47"/>
    <col min="10512" max="10512" width="100.7109375" style="47" customWidth="1"/>
    <col min="10513" max="10752" width="9.140625" style="47"/>
    <col min="10753" max="10753" width="3.140625" style="47" customWidth="1"/>
    <col min="10754" max="10754" width="2.7109375" style="47" customWidth="1"/>
    <col min="10755" max="10755" width="100.7109375" style="47" customWidth="1"/>
    <col min="10756" max="10756" width="2.7109375" style="47" customWidth="1"/>
    <col min="10757" max="10767" width="9.140625" style="47"/>
    <col min="10768" max="10768" width="100.7109375" style="47" customWidth="1"/>
    <col min="10769" max="11008" width="9.140625" style="47"/>
    <col min="11009" max="11009" width="3.140625" style="47" customWidth="1"/>
    <col min="11010" max="11010" width="2.7109375" style="47" customWidth="1"/>
    <col min="11011" max="11011" width="100.7109375" style="47" customWidth="1"/>
    <col min="11012" max="11012" width="2.7109375" style="47" customWidth="1"/>
    <col min="11013" max="11023" width="9.140625" style="47"/>
    <col min="11024" max="11024" width="100.7109375" style="47" customWidth="1"/>
    <col min="11025" max="11264" width="9.140625" style="47"/>
    <col min="11265" max="11265" width="3.140625" style="47" customWidth="1"/>
    <col min="11266" max="11266" width="2.7109375" style="47" customWidth="1"/>
    <col min="11267" max="11267" width="100.7109375" style="47" customWidth="1"/>
    <col min="11268" max="11268" width="2.7109375" style="47" customWidth="1"/>
    <col min="11269" max="11279" width="9.140625" style="47"/>
    <col min="11280" max="11280" width="100.7109375" style="47" customWidth="1"/>
    <col min="11281" max="11520" width="9.140625" style="47"/>
    <col min="11521" max="11521" width="3.140625" style="47" customWidth="1"/>
    <col min="11522" max="11522" width="2.7109375" style="47" customWidth="1"/>
    <col min="11523" max="11523" width="100.7109375" style="47" customWidth="1"/>
    <col min="11524" max="11524" width="2.7109375" style="47" customWidth="1"/>
    <col min="11525" max="11535" width="9.140625" style="47"/>
    <col min="11536" max="11536" width="100.7109375" style="47" customWidth="1"/>
    <col min="11537" max="11776" width="9.140625" style="47"/>
    <col min="11777" max="11777" width="3.140625" style="47" customWidth="1"/>
    <col min="11778" max="11778" width="2.7109375" style="47" customWidth="1"/>
    <col min="11779" max="11779" width="100.7109375" style="47" customWidth="1"/>
    <col min="11780" max="11780" width="2.7109375" style="47" customWidth="1"/>
    <col min="11781" max="11791" width="9.140625" style="47"/>
    <col min="11792" max="11792" width="100.7109375" style="47" customWidth="1"/>
    <col min="11793" max="12032" width="9.140625" style="47"/>
    <col min="12033" max="12033" width="3.140625" style="47" customWidth="1"/>
    <col min="12034" max="12034" width="2.7109375" style="47" customWidth="1"/>
    <col min="12035" max="12035" width="100.7109375" style="47" customWidth="1"/>
    <col min="12036" max="12036" width="2.7109375" style="47" customWidth="1"/>
    <col min="12037" max="12047" width="9.140625" style="47"/>
    <col min="12048" max="12048" width="100.7109375" style="47" customWidth="1"/>
    <col min="12049" max="12288" width="9.140625" style="47"/>
    <col min="12289" max="12289" width="3.140625" style="47" customWidth="1"/>
    <col min="12290" max="12290" width="2.7109375" style="47" customWidth="1"/>
    <col min="12291" max="12291" width="100.7109375" style="47" customWidth="1"/>
    <col min="12292" max="12292" width="2.7109375" style="47" customWidth="1"/>
    <col min="12293" max="12303" width="9.140625" style="47"/>
    <col min="12304" max="12304" width="100.7109375" style="47" customWidth="1"/>
    <col min="12305" max="12544" width="9.140625" style="47"/>
    <col min="12545" max="12545" width="3.140625" style="47" customWidth="1"/>
    <col min="12546" max="12546" width="2.7109375" style="47" customWidth="1"/>
    <col min="12547" max="12547" width="100.7109375" style="47" customWidth="1"/>
    <col min="12548" max="12548" width="2.7109375" style="47" customWidth="1"/>
    <col min="12549" max="12559" width="9.140625" style="47"/>
    <col min="12560" max="12560" width="100.7109375" style="47" customWidth="1"/>
    <col min="12561" max="12800" width="9.140625" style="47"/>
    <col min="12801" max="12801" width="3.140625" style="47" customWidth="1"/>
    <col min="12802" max="12802" width="2.7109375" style="47" customWidth="1"/>
    <col min="12803" max="12803" width="100.7109375" style="47" customWidth="1"/>
    <col min="12804" max="12804" width="2.7109375" style="47" customWidth="1"/>
    <col min="12805" max="12815" width="9.140625" style="47"/>
    <col min="12816" max="12816" width="100.7109375" style="47" customWidth="1"/>
    <col min="12817" max="13056" width="9.140625" style="47"/>
    <col min="13057" max="13057" width="3.140625" style="47" customWidth="1"/>
    <col min="13058" max="13058" width="2.7109375" style="47" customWidth="1"/>
    <col min="13059" max="13059" width="100.7109375" style="47" customWidth="1"/>
    <col min="13060" max="13060" width="2.7109375" style="47" customWidth="1"/>
    <col min="13061" max="13071" width="9.140625" style="47"/>
    <col min="13072" max="13072" width="100.7109375" style="47" customWidth="1"/>
    <col min="13073" max="13312" width="9.140625" style="47"/>
    <col min="13313" max="13313" width="3.140625" style="47" customWidth="1"/>
    <col min="13314" max="13314" width="2.7109375" style="47" customWidth="1"/>
    <col min="13315" max="13315" width="100.7109375" style="47" customWidth="1"/>
    <col min="13316" max="13316" width="2.7109375" style="47" customWidth="1"/>
    <col min="13317" max="13327" width="9.140625" style="47"/>
    <col min="13328" max="13328" width="100.7109375" style="47" customWidth="1"/>
    <col min="13329" max="13568" width="9.140625" style="47"/>
    <col min="13569" max="13569" width="3.140625" style="47" customWidth="1"/>
    <col min="13570" max="13570" width="2.7109375" style="47" customWidth="1"/>
    <col min="13571" max="13571" width="100.7109375" style="47" customWidth="1"/>
    <col min="13572" max="13572" width="2.7109375" style="47" customWidth="1"/>
    <col min="13573" max="13583" width="9.140625" style="47"/>
    <col min="13584" max="13584" width="100.7109375" style="47" customWidth="1"/>
    <col min="13585" max="13824" width="9.140625" style="47"/>
    <col min="13825" max="13825" width="3.140625" style="47" customWidth="1"/>
    <col min="13826" max="13826" width="2.7109375" style="47" customWidth="1"/>
    <col min="13827" max="13827" width="100.7109375" style="47" customWidth="1"/>
    <col min="13828" max="13828" width="2.7109375" style="47" customWidth="1"/>
    <col min="13829" max="13839" width="9.140625" style="47"/>
    <col min="13840" max="13840" width="100.7109375" style="47" customWidth="1"/>
    <col min="13841" max="14080" width="9.140625" style="47"/>
    <col min="14081" max="14081" width="3.140625" style="47" customWidth="1"/>
    <col min="14082" max="14082" width="2.7109375" style="47" customWidth="1"/>
    <col min="14083" max="14083" width="100.7109375" style="47" customWidth="1"/>
    <col min="14084" max="14084" width="2.7109375" style="47" customWidth="1"/>
    <col min="14085" max="14095" width="9.140625" style="47"/>
    <col min="14096" max="14096" width="100.7109375" style="47" customWidth="1"/>
    <col min="14097" max="14336" width="9.140625" style="47"/>
    <col min="14337" max="14337" width="3.140625" style="47" customWidth="1"/>
    <col min="14338" max="14338" width="2.7109375" style="47" customWidth="1"/>
    <col min="14339" max="14339" width="100.7109375" style="47" customWidth="1"/>
    <col min="14340" max="14340" width="2.7109375" style="47" customWidth="1"/>
    <col min="14341" max="14351" width="9.140625" style="47"/>
    <col min="14352" max="14352" width="100.7109375" style="47" customWidth="1"/>
    <col min="14353" max="14592" width="9.140625" style="47"/>
    <col min="14593" max="14593" width="3.140625" style="47" customWidth="1"/>
    <col min="14594" max="14594" width="2.7109375" style="47" customWidth="1"/>
    <col min="14595" max="14595" width="100.7109375" style="47" customWidth="1"/>
    <col min="14596" max="14596" width="2.7109375" style="47" customWidth="1"/>
    <col min="14597" max="14607" width="9.140625" style="47"/>
    <col min="14608" max="14608" width="100.7109375" style="47" customWidth="1"/>
    <col min="14609" max="14848" width="9.140625" style="47"/>
    <col min="14849" max="14849" width="3.140625" style="47" customWidth="1"/>
    <col min="14850" max="14850" width="2.7109375" style="47" customWidth="1"/>
    <col min="14851" max="14851" width="100.7109375" style="47" customWidth="1"/>
    <col min="14852" max="14852" width="2.7109375" style="47" customWidth="1"/>
    <col min="14853" max="14863" width="9.140625" style="47"/>
    <col min="14864" max="14864" width="100.7109375" style="47" customWidth="1"/>
    <col min="14865" max="15104" width="9.140625" style="47"/>
    <col min="15105" max="15105" width="3.140625" style="47" customWidth="1"/>
    <col min="15106" max="15106" width="2.7109375" style="47" customWidth="1"/>
    <col min="15107" max="15107" width="100.7109375" style="47" customWidth="1"/>
    <col min="15108" max="15108" width="2.7109375" style="47" customWidth="1"/>
    <col min="15109" max="15119" width="9.140625" style="47"/>
    <col min="15120" max="15120" width="100.7109375" style="47" customWidth="1"/>
    <col min="15121" max="15360" width="9.140625" style="47"/>
    <col min="15361" max="15361" width="3.140625" style="47" customWidth="1"/>
    <col min="15362" max="15362" width="2.7109375" style="47" customWidth="1"/>
    <col min="15363" max="15363" width="100.7109375" style="47" customWidth="1"/>
    <col min="15364" max="15364" width="2.7109375" style="47" customWidth="1"/>
    <col min="15365" max="15375" width="9.140625" style="47"/>
    <col min="15376" max="15376" width="100.7109375" style="47" customWidth="1"/>
    <col min="15377" max="15616" width="9.140625" style="47"/>
    <col min="15617" max="15617" width="3.140625" style="47" customWidth="1"/>
    <col min="15618" max="15618" width="2.7109375" style="47" customWidth="1"/>
    <col min="15619" max="15619" width="100.7109375" style="47" customWidth="1"/>
    <col min="15620" max="15620" width="2.7109375" style="47" customWidth="1"/>
    <col min="15621" max="15631" width="9.140625" style="47"/>
    <col min="15632" max="15632" width="100.7109375" style="47" customWidth="1"/>
    <col min="15633" max="15872" width="9.140625" style="47"/>
    <col min="15873" max="15873" width="3.140625" style="47" customWidth="1"/>
    <col min="15874" max="15874" width="2.7109375" style="47" customWidth="1"/>
    <col min="15875" max="15875" width="100.7109375" style="47" customWidth="1"/>
    <col min="15876" max="15876" width="2.7109375" style="47" customWidth="1"/>
    <col min="15877" max="15887" width="9.140625" style="47"/>
    <col min="15888" max="15888" width="100.7109375" style="47" customWidth="1"/>
    <col min="15889" max="16128" width="9.140625" style="47"/>
    <col min="16129" max="16129" width="3.140625" style="47" customWidth="1"/>
    <col min="16130" max="16130" width="2.7109375" style="47" customWidth="1"/>
    <col min="16131" max="16131" width="100.7109375" style="47" customWidth="1"/>
    <col min="16132" max="16132" width="2.7109375" style="47" customWidth="1"/>
    <col min="16133" max="16143" width="9.140625" style="47"/>
    <col min="16144" max="16144" width="100.7109375" style="47" customWidth="1"/>
    <col min="16145" max="16384" width="9.140625" style="47"/>
  </cols>
  <sheetData>
    <row r="1" spans="1:16" x14ac:dyDescent="0.2">
      <c r="A1" s="51"/>
      <c r="B1" s="51"/>
      <c r="C1" s="51"/>
      <c r="D1" s="51"/>
      <c r="E1" s="51"/>
      <c r="F1" s="51"/>
      <c r="G1" s="51"/>
      <c r="H1" s="51"/>
      <c r="I1" s="51"/>
      <c r="J1" s="51"/>
      <c r="K1" s="51"/>
      <c r="L1" s="51"/>
      <c r="M1" s="51"/>
      <c r="N1" s="51"/>
      <c r="O1" s="51"/>
    </row>
    <row r="2" spans="1:16" ht="12.75" customHeight="1" x14ac:dyDescent="0.2">
      <c r="A2" s="51"/>
      <c r="B2" s="51"/>
      <c r="C2" s="51"/>
      <c r="D2" s="51"/>
      <c r="E2" s="51"/>
      <c r="F2" s="51"/>
      <c r="G2" s="51"/>
      <c r="H2" s="51"/>
      <c r="I2" s="51"/>
      <c r="J2" s="51"/>
      <c r="K2" s="51"/>
      <c r="L2" s="51"/>
      <c r="M2" s="51"/>
      <c r="N2" s="51"/>
      <c r="O2" s="51"/>
    </row>
    <row r="3" spans="1:16" ht="5.25" customHeight="1" x14ac:dyDescent="0.2">
      <c r="A3" s="51"/>
      <c r="B3" s="52"/>
      <c r="C3" s="52"/>
      <c r="D3" s="52"/>
      <c r="E3" s="51"/>
      <c r="F3" s="51"/>
      <c r="G3" s="51"/>
      <c r="H3" s="51"/>
      <c r="I3" s="51"/>
      <c r="J3" s="51"/>
      <c r="K3" s="51"/>
      <c r="L3" s="51"/>
      <c r="M3" s="51"/>
      <c r="N3" s="51"/>
      <c r="O3" s="51"/>
    </row>
    <row r="4" spans="1:16" ht="15" customHeight="1" x14ac:dyDescent="0.2">
      <c r="A4" s="51"/>
      <c r="B4" s="52"/>
      <c r="C4" s="52"/>
      <c r="D4" s="52"/>
      <c r="E4" s="51"/>
      <c r="F4" s="51"/>
      <c r="G4" s="51"/>
      <c r="H4" s="51"/>
      <c r="I4" s="51"/>
      <c r="J4" s="51"/>
      <c r="K4" s="51"/>
      <c r="L4" s="51"/>
      <c r="M4" s="51"/>
      <c r="N4" s="51"/>
      <c r="O4" s="51"/>
    </row>
    <row r="5" spans="1:16" ht="14.25" customHeight="1" x14ac:dyDescent="0.25">
      <c r="A5" s="51"/>
      <c r="B5" s="52"/>
      <c r="C5" s="53" t="s">
        <v>456</v>
      </c>
      <c r="E5" s="51"/>
      <c r="F5" s="51"/>
      <c r="G5" s="51"/>
      <c r="H5" s="51"/>
      <c r="I5" s="51"/>
      <c r="J5" s="51"/>
      <c r="K5" s="51"/>
      <c r="L5" s="51"/>
      <c r="M5" s="51"/>
      <c r="N5" s="51"/>
      <c r="O5" s="51"/>
    </row>
    <row r="6" spans="1:16" ht="15.75" customHeight="1" x14ac:dyDescent="0.25">
      <c r="A6" s="51"/>
      <c r="B6" s="52"/>
      <c r="C6" s="84" t="s">
        <v>423</v>
      </c>
      <c r="D6" s="52"/>
      <c r="E6" s="51"/>
      <c r="F6" s="51"/>
      <c r="G6" s="51"/>
      <c r="H6" s="51"/>
      <c r="I6" s="51"/>
      <c r="J6" s="51"/>
      <c r="K6" s="51"/>
      <c r="L6" s="51"/>
      <c r="M6" s="51"/>
      <c r="N6" s="51"/>
      <c r="O6" s="51"/>
    </row>
    <row r="7" spans="1:16" ht="105" customHeight="1" x14ac:dyDescent="0.2">
      <c r="A7" s="51"/>
      <c r="B7" s="52"/>
      <c r="C7" s="85" t="s">
        <v>681</v>
      </c>
      <c r="D7" s="52"/>
      <c r="E7" s="51"/>
      <c r="F7" s="51"/>
      <c r="G7" s="51"/>
      <c r="H7" s="51"/>
      <c r="I7" s="51"/>
      <c r="J7" s="51"/>
      <c r="K7" s="51"/>
      <c r="L7" s="51"/>
      <c r="M7" s="51"/>
      <c r="N7" s="51"/>
      <c r="O7" s="51"/>
    </row>
    <row r="8" spans="1:16" ht="15.75" customHeight="1" x14ac:dyDescent="0.25">
      <c r="A8" s="51"/>
      <c r="B8" s="52"/>
      <c r="C8" s="84" t="s">
        <v>424</v>
      </c>
      <c r="D8" s="52"/>
      <c r="E8" s="51"/>
      <c r="F8" s="51"/>
      <c r="G8" s="51"/>
      <c r="H8" s="51"/>
      <c r="I8" s="51"/>
      <c r="J8" s="51"/>
      <c r="K8" s="51"/>
      <c r="L8" s="51"/>
      <c r="M8" s="51"/>
      <c r="N8" s="51"/>
      <c r="O8" s="51"/>
    </row>
    <row r="9" spans="1:16" ht="94.5" customHeight="1" x14ac:dyDescent="0.2">
      <c r="A9" s="51"/>
      <c r="B9" s="52"/>
      <c r="C9" s="85" t="s">
        <v>679</v>
      </c>
      <c r="D9" s="52"/>
      <c r="E9" s="51"/>
      <c r="F9" s="51"/>
      <c r="G9" s="51"/>
      <c r="H9" s="51"/>
      <c r="I9" s="51"/>
      <c r="J9" s="51"/>
      <c r="K9" s="51"/>
      <c r="L9" s="51"/>
      <c r="M9" s="51"/>
      <c r="N9" s="51"/>
      <c r="O9" s="51"/>
    </row>
    <row r="10" spans="1:16" ht="15.75" customHeight="1" x14ac:dyDescent="0.25">
      <c r="A10" s="51"/>
      <c r="B10" s="52"/>
      <c r="C10" s="84" t="s">
        <v>459</v>
      </c>
      <c r="D10" s="52"/>
      <c r="E10" s="51"/>
      <c r="F10" s="51"/>
      <c r="G10" s="51"/>
      <c r="H10" s="51"/>
      <c r="I10" s="51"/>
      <c r="J10" s="51"/>
      <c r="K10" s="51"/>
      <c r="L10" s="51"/>
      <c r="M10" s="51"/>
      <c r="N10" s="51"/>
      <c r="O10" s="51"/>
    </row>
    <row r="11" spans="1:16" ht="107.25" customHeight="1" x14ac:dyDescent="0.2">
      <c r="A11" s="51"/>
      <c r="B11" s="52"/>
      <c r="C11" s="85" t="s">
        <v>481</v>
      </c>
      <c r="D11" s="52"/>
      <c r="E11" s="51"/>
      <c r="F11" s="51"/>
      <c r="G11" s="51"/>
      <c r="H11" s="51"/>
      <c r="I11" s="51"/>
      <c r="J11" s="51"/>
      <c r="K11" s="51"/>
      <c r="L11" s="51"/>
      <c r="M11" s="51"/>
      <c r="N11" s="51"/>
      <c r="O11" s="51"/>
    </row>
    <row r="12" spans="1:16" ht="15.75" customHeight="1" x14ac:dyDescent="0.25">
      <c r="A12" s="51"/>
      <c r="B12" s="52"/>
      <c r="C12" s="84" t="s">
        <v>460</v>
      </c>
      <c r="D12" s="52"/>
      <c r="E12" s="51"/>
      <c r="F12" s="51"/>
      <c r="G12" s="51"/>
      <c r="H12" s="51"/>
      <c r="I12" s="51"/>
      <c r="J12" s="51"/>
      <c r="K12" s="51"/>
      <c r="L12" s="51"/>
      <c r="M12" s="51"/>
      <c r="N12" s="51"/>
      <c r="O12" s="51"/>
    </row>
    <row r="13" spans="1:16" ht="78.75" customHeight="1" x14ac:dyDescent="0.2">
      <c r="A13" s="51"/>
      <c r="B13" s="52"/>
      <c r="C13" s="85" t="s">
        <v>482</v>
      </c>
      <c r="D13" s="52"/>
      <c r="E13" s="51"/>
      <c r="F13" s="51"/>
      <c r="G13" s="51"/>
      <c r="H13" s="51"/>
      <c r="I13" s="51"/>
      <c r="J13" s="51"/>
      <c r="K13" s="51"/>
      <c r="L13" s="51"/>
      <c r="M13" s="51"/>
      <c r="N13" s="51"/>
      <c r="O13" s="51"/>
    </row>
    <row r="14" spans="1:16" ht="15.75" customHeight="1" x14ac:dyDescent="0.25">
      <c r="A14" s="51"/>
      <c r="B14" s="52"/>
      <c r="C14" s="84" t="s">
        <v>458</v>
      </c>
      <c r="D14" s="52"/>
      <c r="E14" s="51"/>
      <c r="F14" s="51"/>
      <c r="G14" s="51"/>
      <c r="H14" s="51"/>
      <c r="I14" s="51"/>
      <c r="J14" s="51"/>
      <c r="K14" s="51"/>
      <c r="L14" s="51"/>
      <c r="M14" s="51"/>
      <c r="N14" s="51"/>
      <c r="O14" s="51"/>
    </row>
    <row r="15" spans="1:16" ht="62.25" customHeight="1" x14ac:dyDescent="0.2">
      <c r="A15" s="51"/>
      <c r="B15" s="52"/>
      <c r="C15" s="85" t="s">
        <v>461</v>
      </c>
      <c r="D15" s="52"/>
      <c r="E15" s="51"/>
      <c r="F15" s="51"/>
      <c r="G15" s="51"/>
      <c r="H15" s="51"/>
      <c r="I15" s="51"/>
      <c r="J15" s="51"/>
      <c r="K15" s="51"/>
      <c r="L15" s="51"/>
      <c r="M15" s="51"/>
      <c r="N15" s="51"/>
      <c r="O15" s="51"/>
    </row>
    <row r="16" spans="1:16" ht="15" hidden="1" x14ac:dyDescent="0.25">
      <c r="A16" s="51"/>
      <c r="B16" s="52"/>
      <c r="C16" s="54" t="s">
        <v>462</v>
      </c>
      <c r="D16" s="52"/>
      <c r="E16" s="51"/>
      <c r="F16" s="51"/>
      <c r="G16" s="51"/>
      <c r="H16" s="51"/>
      <c r="I16" s="51"/>
      <c r="J16" s="51"/>
      <c r="K16" s="51"/>
      <c r="L16" s="51"/>
      <c r="M16" s="51"/>
      <c r="N16" s="51"/>
      <c r="O16" s="51"/>
      <c r="P16" s="54"/>
    </row>
    <row r="17" spans="1:16" ht="89.25" hidden="1" customHeight="1" x14ac:dyDescent="0.2">
      <c r="A17" s="51"/>
      <c r="B17" s="52"/>
      <c r="C17" s="55" t="s">
        <v>483</v>
      </c>
      <c r="D17" s="52"/>
      <c r="E17" s="51"/>
      <c r="F17" s="51"/>
      <c r="G17" s="51"/>
      <c r="H17" s="51"/>
      <c r="I17" s="51"/>
      <c r="J17" s="51"/>
      <c r="K17" s="51"/>
      <c r="L17" s="51"/>
      <c r="M17" s="51"/>
      <c r="N17" s="51"/>
      <c r="O17" s="51"/>
      <c r="P17" s="55"/>
    </row>
    <row r="18" spans="1:16" ht="15.75" customHeight="1" x14ac:dyDescent="0.25">
      <c r="A18" s="51"/>
      <c r="B18" s="52"/>
      <c r="C18" s="84" t="s">
        <v>680</v>
      </c>
      <c r="D18" s="52"/>
      <c r="E18" s="51"/>
      <c r="F18" s="51"/>
      <c r="G18" s="51"/>
      <c r="H18" s="51"/>
      <c r="I18" s="51"/>
      <c r="J18" s="51"/>
      <c r="K18" s="51"/>
      <c r="L18" s="51"/>
      <c r="M18" s="51"/>
      <c r="N18" s="51"/>
      <c r="O18" s="51"/>
      <c r="P18" s="55"/>
    </row>
    <row r="19" spans="1:16" ht="27" customHeight="1" x14ac:dyDescent="0.2">
      <c r="A19" s="51"/>
      <c r="B19" s="56"/>
      <c r="C19" s="86" t="s">
        <v>704</v>
      </c>
      <c r="D19" s="57"/>
      <c r="E19" s="51"/>
      <c r="F19" s="51"/>
      <c r="G19" s="51"/>
      <c r="H19" s="51"/>
      <c r="I19" s="51"/>
      <c r="J19" s="51"/>
      <c r="K19" s="51"/>
      <c r="L19" s="51"/>
      <c r="M19" s="51"/>
      <c r="N19" s="51"/>
      <c r="O19" s="51"/>
    </row>
    <row r="20" spans="1:16" ht="15.75" customHeight="1" x14ac:dyDescent="0.25">
      <c r="A20" s="51"/>
      <c r="C20" s="87" t="s">
        <v>513</v>
      </c>
      <c r="D20" s="58"/>
      <c r="E20" s="51"/>
      <c r="F20" s="51"/>
      <c r="G20" s="51"/>
      <c r="H20" s="51"/>
      <c r="I20" s="51"/>
      <c r="J20" s="51"/>
      <c r="K20" s="51"/>
      <c r="L20" s="51"/>
      <c r="M20" s="51"/>
      <c r="N20" s="51"/>
      <c r="O20" s="51"/>
    </row>
    <row r="21" spans="1:16" x14ac:dyDescent="0.2">
      <c r="A21" s="51"/>
      <c r="B21" s="51"/>
      <c r="C21" s="51"/>
      <c r="D21" s="51"/>
      <c r="E21" s="51"/>
      <c r="F21" s="51"/>
      <c r="G21" s="51"/>
      <c r="H21" s="51"/>
      <c r="I21" s="51"/>
      <c r="J21" s="51"/>
      <c r="K21" s="51"/>
      <c r="L21" s="51"/>
      <c r="M21" s="51"/>
      <c r="N21" s="51"/>
      <c r="O21" s="51"/>
    </row>
    <row r="22" spans="1:16" x14ac:dyDescent="0.2">
      <c r="A22" s="51"/>
      <c r="B22" s="51"/>
      <c r="C22" s="51"/>
      <c r="D22" s="51"/>
      <c r="E22" s="51"/>
      <c r="F22" s="51"/>
      <c r="G22" s="51"/>
      <c r="H22" s="51"/>
      <c r="I22" s="51"/>
      <c r="J22" s="51"/>
      <c r="K22" s="51"/>
      <c r="L22" s="51"/>
      <c r="M22" s="51"/>
      <c r="N22" s="51"/>
      <c r="O22" s="51"/>
    </row>
    <row r="23" spans="1:16" x14ac:dyDescent="0.2">
      <c r="A23" s="51"/>
      <c r="B23" s="51"/>
      <c r="C23" s="51"/>
      <c r="D23" s="51"/>
      <c r="E23" s="51"/>
      <c r="F23" s="51"/>
      <c r="G23" s="51"/>
      <c r="H23" s="51"/>
      <c r="I23" s="51"/>
      <c r="J23" s="51"/>
      <c r="K23" s="51"/>
      <c r="L23" s="51"/>
      <c r="M23" s="51"/>
      <c r="N23" s="51"/>
      <c r="O23" s="51"/>
    </row>
    <row r="24" spans="1:16" x14ac:dyDescent="0.2">
      <c r="A24" s="51"/>
      <c r="B24" s="51"/>
      <c r="C24" s="51"/>
      <c r="D24" s="51"/>
      <c r="E24" s="51"/>
      <c r="F24" s="51"/>
      <c r="G24" s="51"/>
      <c r="H24" s="51"/>
      <c r="I24" s="51"/>
      <c r="J24" s="51"/>
      <c r="K24" s="51"/>
      <c r="L24" s="51"/>
      <c r="M24" s="51"/>
      <c r="N24" s="51"/>
      <c r="O24" s="51"/>
    </row>
    <row r="25" spans="1:16" x14ac:dyDescent="0.2">
      <c r="A25" s="51"/>
      <c r="B25" s="51"/>
      <c r="C25" s="51"/>
      <c r="D25" s="51"/>
      <c r="E25" s="51"/>
      <c r="F25" s="51"/>
      <c r="G25" s="51"/>
      <c r="H25" s="51"/>
      <c r="I25" s="51"/>
      <c r="J25" s="51"/>
      <c r="K25" s="51"/>
      <c r="L25" s="51"/>
      <c r="M25" s="51"/>
      <c r="N25" s="51"/>
      <c r="O25" s="51"/>
    </row>
    <row r="26" spans="1:16" x14ac:dyDescent="0.2">
      <c r="A26" s="51"/>
      <c r="B26" s="51"/>
      <c r="C26" s="51"/>
      <c r="D26" s="51"/>
      <c r="E26" s="51"/>
      <c r="F26" s="51"/>
      <c r="G26" s="51"/>
      <c r="H26" s="51"/>
      <c r="I26" s="51"/>
      <c r="J26" s="51"/>
      <c r="K26" s="51"/>
      <c r="L26" s="51"/>
      <c r="M26" s="51"/>
      <c r="N26" s="51"/>
      <c r="O26" s="51"/>
    </row>
    <row r="27" spans="1:16" x14ac:dyDescent="0.2">
      <c r="A27" s="51"/>
      <c r="B27" s="51"/>
      <c r="C27" s="51"/>
      <c r="D27" s="51"/>
      <c r="E27" s="51"/>
      <c r="F27" s="51"/>
      <c r="G27" s="51"/>
      <c r="H27" s="51"/>
      <c r="I27" s="51"/>
      <c r="J27" s="51"/>
      <c r="K27" s="51"/>
      <c r="L27" s="51"/>
      <c r="M27" s="51"/>
      <c r="N27" s="51"/>
      <c r="O27" s="51"/>
    </row>
    <row r="28" spans="1:16" x14ac:dyDescent="0.2">
      <c r="A28" s="51"/>
      <c r="B28" s="51"/>
      <c r="C28" s="51"/>
      <c r="D28" s="51"/>
      <c r="E28" s="51"/>
      <c r="F28" s="51"/>
      <c r="G28" s="51"/>
      <c r="H28" s="51"/>
      <c r="I28" s="51"/>
      <c r="J28" s="51"/>
      <c r="K28" s="51"/>
      <c r="L28" s="51"/>
      <c r="M28" s="51"/>
      <c r="N28" s="51"/>
      <c r="O28" s="51"/>
    </row>
    <row r="29" spans="1:16" x14ac:dyDescent="0.2">
      <c r="A29" s="51"/>
      <c r="B29" s="51"/>
      <c r="C29" s="51"/>
      <c r="D29" s="51"/>
      <c r="E29" s="51"/>
      <c r="F29" s="51"/>
      <c r="G29" s="51"/>
      <c r="H29" s="51"/>
      <c r="I29" s="51"/>
      <c r="J29" s="51"/>
      <c r="K29" s="51"/>
      <c r="L29" s="51"/>
      <c r="M29" s="51"/>
      <c r="N29" s="51"/>
      <c r="O29" s="51"/>
    </row>
    <row r="30" spans="1:16" x14ac:dyDescent="0.2">
      <c r="A30" s="51"/>
      <c r="B30" s="51"/>
      <c r="C30" s="51"/>
      <c r="D30" s="51"/>
      <c r="E30" s="51"/>
      <c r="F30" s="51"/>
      <c r="G30" s="51"/>
      <c r="H30" s="51"/>
      <c r="I30" s="51"/>
      <c r="J30" s="51"/>
      <c r="K30" s="51"/>
      <c r="L30" s="51"/>
      <c r="M30" s="51"/>
      <c r="N30" s="51"/>
      <c r="O30" s="51"/>
    </row>
    <row r="31" spans="1:16" x14ac:dyDescent="0.2">
      <c r="A31" s="51"/>
      <c r="B31" s="51"/>
      <c r="C31" s="51"/>
      <c r="D31" s="51"/>
      <c r="E31" s="51"/>
      <c r="F31" s="51"/>
      <c r="G31" s="51"/>
      <c r="H31" s="51"/>
      <c r="I31" s="51"/>
      <c r="J31" s="51"/>
      <c r="K31" s="51"/>
      <c r="L31" s="51"/>
      <c r="M31" s="51"/>
      <c r="N31" s="51"/>
      <c r="O31" s="51"/>
    </row>
    <row r="32" spans="1:16" x14ac:dyDescent="0.2">
      <c r="A32" s="51"/>
      <c r="B32" s="51"/>
      <c r="C32" s="51"/>
      <c r="D32" s="51"/>
      <c r="E32" s="51"/>
      <c r="F32" s="51"/>
      <c r="G32" s="51"/>
      <c r="H32" s="51"/>
      <c r="I32" s="51"/>
      <c r="J32" s="51"/>
      <c r="K32" s="51"/>
      <c r="L32" s="51"/>
      <c r="M32" s="51"/>
      <c r="N32" s="51"/>
      <c r="O32" s="51"/>
    </row>
    <row r="33" spans="1:15" x14ac:dyDescent="0.2">
      <c r="A33" s="51"/>
      <c r="B33" s="51"/>
      <c r="C33" s="51"/>
      <c r="D33" s="51"/>
      <c r="E33" s="51"/>
      <c r="F33" s="51"/>
      <c r="G33" s="51"/>
      <c r="H33" s="51"/>
      <c r="I33" s="51"/>
      <c r="J33" s="51"/>
      <c r="K33" s="51"/>
      <c r="L33" s="51"/>
      <c r="M33" s="51"/>
      <c r="N33" s="51"/>
      <c r="O33" s="51"/>
    </row>
    <row r="34" spans="1:15" x14ac:dyDescent="0.2">
      <c r="A34" s="51"/>
      <c r="B34" s="51"/>
      <c r="C34" s="51"/>
      <c r="D34" s="51"/>
      <c r="E34" s="51"/>
      <c r="F34" s="51"/>
      <c r="G34" s="51"/>
      <c r="H34" s="51"/>
      <c r="I34" s="51"/>
      <c r="J34" s="51"/>
      <c r="K34" s="51"/>
      <c r="L34" s="51"/>
      <c r="M34" s="51"/>
      <c r="N34" s="51"/>
      <c r="O34" s="51"/>
    </row>
    <row r="35" spans="1:15" x14ac:dyDescent="0.2">
      <c r="A35" s="51"/>
      <c r="B35" s="51"/>
      <c r="C35" s="51"/>
      <c r="D35" s="51"/>
      <c r="E35" s="51"/>
      <c r="F35" s="51"/>
      <c r="G35" s="51"/>
      <c r="H35" s="51"/>
      <c r="I35" s="51"/>
      <c r="J35" s="51"/>
      <c r="K35" s="51"/>
      <c r="L35" s="51"/>
      <c r="M35" s="51"/>
      <c r="N35" s="51"/>
      <c r="O35" s="51"/>
    </row>
    <row r="36" spans="1:15" x14ac:dyDescent="0.2">
      <c r="A36" s="51"/>
      <c r="B36" s="51"/>
      <c r="C36" s="51"/>
      <c r="D36" s="51"/>
      <c r="E36" s="51"/>
      <c r="F36" s="51"/>
      <c r="G36" s="51"/>
      <c r="H36" s="51"/>
      <c r="I36" s="51"/>
      <c r="J36" s="51"/>
      <c r="K36" s="51"/>
      <c r="L36" s="51"/>
      <c r="M36" s="51"/>
      <c r="N36" s="51"/>
      <c r="O36" s="51"/>
    </row>
    <row r="37" spans="1:15" x14ac:dyDescent="0.2">
      <c r="A37" s="51"/>
      <c r="B37" s="51"/>
      <c r="C37" s="51"/>
      <c r="D37" s="51"/>
      <c r="E37" s="51"/>
      <c r="F37" s="51"/>
      <c r="G37" s="51"/>
      <c r="H37" s="51"/>
      <c r="I37" s="51"/>
      <c r="J37" s="51"/>
      <c r="K37" s="51"/>
      <c r="L37" s="51"/>
      <c r="M37" s="51"/>
      <c r="N37" s="51"/>
      <c r="O37" s="51"/>
    </row>
    <row r="38" spans="1:15" x14ac:dyDescent="0.2">
      <c r="A38" s="51"/>
      <c r="B38" s="51"/>
      <c r="C38" s="51"/>
      <c r="D38" s="51"/>
      <c r="E38" s="51"/>
      <c r="F38" s="51"/>
      <c r="G38" s="51"/>
      <c r="H38" s="51"/>
      <c r="I38" s="51"/>
      <c r="J38" s="51"/>
      <c r="K38" s="51"/>
      <c r="L38" s="51"/>
      <c r="M38" s="51"/>
      <c r="N38" s="51"/>
      <c r="O38" s="51"/>
    </row>
    <row r="39" spans="1:15" x14ac:dyDescent="0.2">
      <c r="A39" s="51"/>
      <c r="B39" s="51"/>
      <c r="C39" s="51"/>
      <c r="D39" s="51"/>
      <c r="E39" s="51"/>
      <c r="F39" s="51"/>
      <c r="G39" s="51"/>
      <c r="H39" s="51"/>
      <c r="I39" s="51"/>
      <c r="J39" s="51"/>
      <c r="K39" s="51"/>
      <c r="L39" s="51"/>
      <c r="M39" s="51"/>
      <c r="N39" s="51"/>
      <c r="O39" s="51"/>
    </row>
    <row r="40" spans="1:15" x14ac:dyDescent="0.2">
      <c r="A40" s="51"/>
      <c r="B40" s="51"/>
      <c r="C40" s="51"/>
      <c r="D40" s="51"/>
      <c r="E40" s="51"/>
      <c r="F40" s="51"/>
      <c r="G40" s="51"/>
      <c r="H40" s="51"/>
      <c r="I40" s="51"/>
      <c r="J40" s="51"/>
      <c r="K40" s="51"/>
      <c r="L40" s="51"/>
      <c r="M40" s="51"/>
      <c r="N40" s="51"/>
      <c r="O40" s="51"/>
    </row>
    <row r="41" spans="1:15" x14ac:dyDescent="0.2">
      <c r="A41" s="51"/>
      <c r="B41" s="51"/>
      <c r="C41" s="51"/>
      <c r="D41" s="51"/>
      <c r="E41" s="51"/>
      <c r="F41" s="51"/>
      <c r="G41" s="51"/>
      <c r="H41" s="51"/>
      <c r="I41" s="51"/>
      <c r="J41" s="51"/>
      <c r="K41" s="51"/>
      <c r="L41" s="51"/>
      <c r="M41" s="51"/>
      <c r="N41" s="51"/>
      <c r="O41" s="51"/>
    </row>
    <row r="42" spans="1:15" x14ac:dyDescent="0.2">
      <c r="A42" s="51"/>
      <c r="B42" s="51"/>
      <c r="C42" s="51"/>
      <c r="D42" s="51"/>
      <c r="E42" s="51"/>
      <c r="F42" s="51"/>
      <c r="G42" s="51"/>
      <c r="H42" s="51"/>
      <c r="I42" s="51"/>
      <c r="J42" s="51"/>
      <c r="K42" s="51"/>
      <c r="L42" s="51"/>
      <c r="M42" s="51"/>
      <c r="N42" s="51"/>
      <c r="O42" s="51"/>
    </row>
    <row r="43" spans="1:15" x14ac:dyDescent="0.2">
      <c r="A43" s="51"/>
      <c r="B43" s="51"/>
      <c r="C43" s="51"/>
      <c r="D43" s="51"/>
      <c r="E43" s="51"/>
      <c r="F43" s="51"/>
      <c r="G43" s="51"/>
      <c r="H43" s="51"/>
      <c r="I43" s="51"/>
      <c r="J43" s="51"/>
      <c r="K43" s="51"/>
      <c r="L43" s="51"/>
      <c r="M43" s="51"/>
      <c r="N43" s="51"/>
      <c r="O43" s="51"/>
    </row>
    <row r="44" spans="1:15" x14ac:dyDescent="0.2">
      <c r="A44" s="51"/>
      <c r="B44" s="51"/>
      <c r="C44" s="51"/>
      <c r="D44" s="51"/>
      <c r="E44" s="51"/>
      <c r="F44" s="51"/>
      <c r="G44" s="51"/>
      <c r="H44" s="51"/>
      <c r="I44" s="51"/>
      <c r="J44" s="51"/>
      <c r="K44" s="51"/>
      <c r="L44" s="51"/>
      <c r="M44" s="51"/>
      <c r="N44" s="51"/>
      <c r="O44" s="51"/>
    </row>
    <row r="45" spans="1:15" x14ac:dyDescent="0.2">
      <c r="A45" s="51"/>
      <c r="B45" s="51"/>
      <c r="C45" s="51"/>
      <c r="D45" s="51"/>
      <c r="E45" s="51"/>
      <c r="F45" s="51"/>
      <c r="G45" s="51"/>
      <c r="H45" s="51"/>
      <c r="I45" s="51"/>
      <c r="J45" s="51"/>
      <c r="K45" s="51"/>
      <c r="L45" s="51"/>
      <c r="M45" s="51"/>
      <c r="N45" s="51"/>
      <c r="O45" s="51"/>
    </row>
    <row r="46" spans="1:15" x14ac:dyDescent="0.2">
      <c r="A46" s="51"/>
      <c r="B46" s="51"/>
      <c r="C46" s="51"/>
      <c r="D46" s="51"/>
      <c r="E46" s="51"/>
      <c r="F46" s="51"/>
      <c r="G46" s="51"/>
      <c r="H46" s="51"/>
      <c r="I46" s="51"/>
      <c r="J46" s="51"/>
      <c r="K46" s="51"/>
      <c r="L46" s="51"/>
      <c r="M46" s="51"/>
      <c r="N46" s="51"/>
      <c r="O46" s="51"/>
    </row>
    <row r="47" spans="1:15" x14ac:dyDescent="0.2">
      <c r="A47" s="51"/>
      <c r="B47" s="51"/>
      <c r="C47" s="51"/>
      <c r="D47" s="51"/>
      <c r="E47" s="51"/>
      <c r="F47" s="51"/>
      <c r="G47" s="51"/>
      <c r="H47" s="51"/>
      <c r="I47" s="51"/>
      <c r="J47" s="51"/>
      <c r="K47" s="51"/>
      <c r="L47" s="51"/>
      <c r="M47" s="51"/>
      <c r="N47" s="51"/>
      <c r="O47" s="51"/>
    </row>
    <row r="48" spans="1:15" x14ac:dyDescent="0.2">
      <c r="A48" s="51"/>
      <c r="B48" s="51"/>
      <c r="C48" s="51"/>
      <c r="D48" s="51"/>
      <c r="E48" s="51"/>
      <c r="F48" s="51"/>
      <c r="G48" s="51"/>
      <c r="H48" s="51"/>
      <c r="I48" s="51"/>
      <c r="J48" s="51"/>
      <c r="K48" s="51"/>
      <c r="L48" s="51"/>
      <c r="M48" s="51"/>
      <c r="N48" s="51"/>
      <c r="O48" s="51"/>
    </row>
    <row r="49" spans="1:15" x14ac:dyDescent="0.2">
      <c r="A49" s="51"/>
      <c r="B49" s="51"/>
      <c r="C49" s="51"/>
      <c r="D49" s="51"/>
      <c r="E49" s="51"/>
      <c r="F49" s="51"/>
      <c r="G49" s="51"/>
      <c r="H49" s="51"/>
      <c r="I49" s="51"/>
      <c r="J49" s="51"/>
      <c r="K49" s="51"/>
      <c r="L49" s="51"/>
      <c r="M49" s="51"/>
      <c r="N49" s="51"/>
      <c r="O49" s="51"/>
    </row>
    <row r="50" spans="1:15" x14ac:dyDescent="0.2">
      <c r="A50" s="51"/>
      <c r="B50" s="51"/>
      <c r="C50" s="51"/>
      <c r="D50" s="51"/>
      <c r="E50" s="51"/>
      <c r="F50" s="51"/>
      <c r="G50" s="51"/>
      <c r="H50" s="51"/>
      <c r="I50" s="51"/>
      <c r="J50" s="51"/>
      <c r="K50" s="51"/>
      <c r="L50" s="51"/>
      <c r="M50" s="51"/>
      <c r="N50" s="51"/>
      <c r="O50" s="51"/>
    </row>
    <row r="51" spans="1:15" x14ac:dyDescent="0.2">
      <c r="A51" s="51"/>
      <c r="B51" s="51"/>
      <c r="C51" s="51"/>
      <c r="D51" s="51"/>
      <c r="E51" s="51"/>
      <c r="F51" s="51"/>
      <c r="G51" s="51"/>
      <c r="H51" s="51"/>
      <c r="I51" s="51"/>
      <c r="J51" s="51"/>
      <c r="K51" s="51"/>
      <c r="L51" s="51"/>
      <c r="M51" s="51"/>
      <c r="N51" s="51"/>
      <c r="O51" s="51"/>
    </row>
    <row r="52" spans="1:15" x14ac:dyDescent="0.2">
      <c r="A52" s="51"/>
      <c r="B52" s="51"/>
      <c r="C52" s="51"/>
      <c r="D52" s="51"/>
      <c r="E52" s="51"/>
      <c r="F52" s="51"/>
      <c r="G52" s="51"/>
      <c r="H52" s="51"/>
      <c r="I52" s="51"/>
      <c r="J52" s="51"/>
      <c r="K52" s="51"/>
      <c r="L52" s="51"/>
      <c r="M52" s="51"/>
      <c r="N52" s="51"/>
      <c r="O52" s="51"/>
    </row>
    <row r="53" spans="1:15" x14ac:dyDescent="0.2">
      <c r="A53" s="51"/>
      <c r="B53" s="51"/>
      <c r="C53" s="51"/>
      <c r="D53" s="51"/>
      <c r="E53" s="51"/>
      <c r="F53" s="51"/>
      <c r="G53" s="51"/>
      <c r="H53" s="51"/>
      <c r="I53" s="51"/>
      <c r="J53" s="51"/>
      <c r="K53" s="51"/>
      <c r="L53" s="51"/>
      <c r="M53" s="51"/>
      <c r="N53" s="51"/>
      <c r="O53" s="51"/>
    </row>
    <row r="54" spans="1:15" x14ac:dyDescent="0.2">
      <c r="C54" s="51"/>
    </row>
    <row r="55" spans="1:15" x14ac:dyDescent="0.2">
      <c r="C55" s="51"/>
    </row>
  </sheetData>
  <sheetProtection password="BD7D" sheet="1" formatCells="0" selectLockedCells="1"/>
  <pageMargins left="0.75" right="0.75" top="0.31" bottom="0.43" header="0.39" footer="0.5"/>
  <pageSetup scale="42" fitToHeight="0"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CY49"/>
  <sheetViews>
    <sheetView showGridLines="0" tabSelected="1" topLeftCell="A25" zoomScaleNormal="100" workbookViewId="0">
      <selection activeCell="K40" sqref="K40:O40"/>
    </sheetView>
  </sheetViews>
  <sheetFormatPr defaultColWidth="3.5703125" defaultRowHeight="18.75" customHeight="1" x14ac:dyDescent="0.25"/>
  <cols>
    <col min="2" max="2" width="3.5703125" customWidth="1"/>
    <col min="13" max="13" width="3.5703125" customWidth="1"/>
    <col min="15" max="15" width="3.5703125" customWidth="1"/>
    <col min="36" max="36" width="3.5703125" customWidth="1"/>
    <col min="47" max="47" width="3.5703125" customWidth="1"/>
    <col min="53" max="54" width="8.42578125" bestFit="1" customWidth="1"/>
  </cols>
  <sheetData>
    <row r="1" spans="1:103" ht="18.75" customHeight="1" x14ac:dyDescent="0.3">
      <c r="A1" s="94"/>
      <c r="B1" s="94" t="s">
        <v>507</v>
      </c>
      <c r="C1" s="94"/>
      <c r="D1" s="94"/>
      <c r="E1" s="94"/>
      <c r="F1" s="94"/>
      <c r="G1" s="94"/>
      <c r="H1" s="94"/>
      <c r="I1" s="94"/>
      <c r="J1" s="94"/>
      <c r="K1" s="94"/>
      <c r="L1" s="94"/>
      <c r="M1" s="94"/>
      <c r="N1" s="94"/>
      <c r="O1" s="94"/>
      <c r="P1" s="94"/>
      <c r="Q1" s="94"/>
      <c r="R1" s="94"/>
      <c r="S1" s="94"/>
      <c r="T1" s="94"/>
      <c r="U1" s="94"/>
      <c r="V1" s="94"/>
      <c r="W1" s="94"/>
      <c r="X1" s="94"/>
      <c r="Y1" s="94"/>
      <c r="Z1" s="94"/>
      <c r="AA1" s="94"/>
      <c r="AB1" s="94"/>
      <c r="AC1" s="94"/>
      <c r="AD1" s="94"/>
      <c r="AE1" s="94"/>
      <c r="AF1" s="94"/>
      <c r="AG1" s="94"/>
      <c r="AH1" s="94"/>
      <c r="AI1" s="94"/>
      <c r="AJ1" s="94"/>
      <c r="AK1" s="94"/>
      <c r="AL1" s="94"/>
      <c r="AM1" s="94"/>
      <c r="AN1" s="94"/>
      <c r="AO1" s="94"/>
      <c r="AP1" s="94"/>
      <c r="AQ1" s="94"/>
      <c r="AR1" s="94"/>
      <c r="AS1" s="94"/>
      <c r="AT1" s="94"/>
      <c r="AU1" s="94"/>
      <c r="AV1" s="94"/>
      <c r="AW1" s="94"/>
      <c r="AX1" s="94"/>
      <c r="AY1" s="94"/>
      <c r="AZ1" s="94"/>
      <c r="BA1" s="94"/>
      <c r="BB1" s="94"/>
      <c r="BC1" s="94"/>
      <c r="BD1" s="94"/>
      <c r="BE1" s="94"/>
      <c r="BF1" s="94"/>
      <c r="BG1" s="94"/>
      <c r="BH1" s="94"/>
      <c r="BI1" s="94"/>
      <c r="BJ1" s="94"/>
      <c r="BK1" s="94"/>
      <c r="BL1" s="94"/>
      <c r="BM1" s="94"/>
      <c r="BN1" s="94"/>
      <c r="BO1" s="94"/>
      <c r="BP1" s="94"/>
      <c r="BQ1" s="94"/>
      <c r="BR1" s="94"/>
      <c r="BS1" s="94"/>
      <c r="BT1" s="94"/>
      <c r="BU1" s="94"/>
      <c r="BV1" s="94"/>
      <c r="BW1" s="94"/>
      <c r="BX1" s="94"/>
      <c r="BY1" s="94"/>
      <c r="BZ1" s="94"/>
    </row>
    <row r="2" spans="1:103" ht="18.75" customHeight="1" x14ac:dyDescent="0.25">
      <c r="B2" s="68"/>
      <c r="X2" s="68"/>
      <c r="Y2" s="68"/>
      <c r="Z2" s="68"/>
      <c r="AA2" s="68"/>
      <c r="AB2" s="68"/>
      <c r="AC2" s="68"/>
      <c r="AD2" s="195" t="s">
        <v>391</v>
      </c>
      <c r="AE2" s="195"/>
      <c r="AF2" s="195"/>
      <c r="AG2" s="195"/>
      <c r="AH2" s="195"/>
      <c r="AI2" s="195"/>
      <c r="AJ2" s="195"/>
    </row>
    <row r="3" spans="1:103" ht="18.75" customHeight="1" x14ac:dyDescent="0.25">
      <c r="B3" s="162" t="s">
        <v>1</v>
      </c>
      <c r="C3" s="162"/>
      <c r="D3" s="162"/>
      <c r="E3" s="162"/>
      <c r="F3" s="162"/>
      <c r="G3" s="162"/>
      <c r="H3" s="162"/>
      <c r="I3" s="162"/>
      <c r="J3" s="162"/>
      <c r="K3" s="162"/>
      <c r="L3" s="162"/>
      <c r="M3" s="162"/>
      <c r="N3" s="162"/>
      <c r="O3" s="162"/>
      <c r="P3" s="166"/>
      <c r="Q3" s="167"/>
      <c r="R3" s="167"/>
      <c r="S3" s="167"/>
      <c r="T3" s="167"/>
      <c r="U3" s="167"/>
      <c r="V3" s="167"/>
      <c r="W3" s="167"/>
      <c r="X3" s="167"/>
      <c r="Y3" s="167"/>
      <c r="Z3" s="167"/>
      <c r="AA3" s="167"/>
      <c r="AB3" s="168"/>
      <c r="AD3" s="208" t="s">
        <v>392</v>
      </c>
      <c r="AE3" s="208"/>
      <c r="AF3" s="208"/>
      <c r="AG3" s="208"/>
      <c r="AH3" s="208"/>
      <c r="AI3" s="208"/>
      <c r="AJ3" s="208"/>
    </row>
    <row r="4" spans="1:103" ht="18.75" customHeight="1" thickBot="1" x14ac:dyDescent="0.3">
      <c r="B4" s="162" t="s">
        <v>652</v>
      </c>
      <c r="C4" s="162"/>
      <c r="D4" s="162"/>
      <c r="E4" s="162"/>
      <c r="F4" s="162"/>
      <c r="G4" s="162"/>
      <c r="H4" s="162"/>
      <c r="I4" s="162"/>
      <c r="J4" s="162"/>
      <c r="K4" s="162"/>
      <c r="L4" s="162"/>
      <c r="M4" s="162"/>
      <c r="N4" s="162"/>
      <c r="O4" s="162"/>
      <c r="P4" s="169"/>
      <c r="Q4" s="170"/>
      <c r="R4" s="170"/>
      <c r="S4" s="170"/>
      <c r="T4" s="170"/>
      <c r="U4" s="170"/>
      <c r="V4" s="170"/>
      <c r="W4" s="170"/>
      <c r="X4" s="170"/>
      <c r="Y4" s="170"/>
      <c r="Z4" s="170"/>
      <c r="AA4" s="170"/>
      <c r="AB4" s="171"/>
      <c r="AD4" s="209" t="s">
        <v>393</v>
      </c>
      <c r="AE4" s="209"/>
      <c r="AF4" s="209"/>
      <c r="AG4" s="209"/>
      <c r="AH4" s="209"/>
      <c r="AI4" s="209"/>
      <c r="AJ4" s="209"/>
    </row>
    <row r="5" spans="1:103" s="119" customFormat="1" ht="18.75" customHeight="1" thickBot="1" x14ac:dyDescent="0.3">
      <c r="B5" s="162" t="s">
        <v>650</v>
      </c>
      <c r="C5" s="162"/>
      <c r="D5" s="162"/>
      <c r="E5" s="162"/>
      <c r="F5" s="162"/>
      <c r="G5" s="162"/>
      <c r="H5" s="162"/>
      <c r="I5" s="162"/>
      <c r="J5" s="162"/>
      <c r="K5" s="162"/>
      <c r="L5" s="162"/>
      <c r="M5" s="162"/>
      <c r="N5" s="162"/>
      <c r="O5" s="162"/>
      <c r="P5" s="172"/>
      <c r="Q5" s="172"/>
      <c r="R5" s="172"/>
      <c r="S5" s="172"/>
      <c r="T5" s="172"/>
      <c r="U5" s="172"/>
      <c r="V5" s="172"/>
      <c r="W5" s="172"/>
      <c r="X5" s="172"/>
      <c r="Y5" s="172"/>
      <c r="Z5" s="172"/>
      <c r="AA5" s="172"/>
      <c r="AB5" s="172"/>
      <c r="AD5" s="210" t="s">
        <v>427</v>
      </c>
      <c r="AE5" s="211"/>
      <c r="AF5" s="211"/>
      <c r="AG5" s="211"/>
      <c r="AH5" s="211"/>
      <c r="AI5" s="211"/>
      <c r="AJ5" s="212"/>
    </row>
    <row r="6" spans="1:103" s="119" customFormat="1" ht="18.75" customHeight="1" thickBot="1" x14ac:dyDescent="0.3">
      <c r="B6" s="162" t="s">
        <v>653</v>
      </c>
      <c r="C6" s="162"/>
      <c r="D6" s="162"/>
      <c r="E6" s="162"/>
      <c r="F6" s="162"/>
      <c r="G6" s="162"/>
      <c r="H6" s="162"/>
      <c r="I6" s="162"/>
      <c r="J6" s="162"/>
      <c r="K6" s="162"/>
      <c r="L6" s="162"/>
      <c r="M6" s="162"/>
      <c r="N6" s="162"/>
      <c r="O6" s="162"/>
      <c r="P6" s="172"/>
      <c r="Q6" s="172"/>
      <c r="R6" s="172"/>
      <c r="S6" s="172"/>
      <c r="T6" s="172"/>
      <c r="U6" s="172"/>
      <c r="V6" s="172"/>
      <c r="W6" s="172"/>
      <c r="X6" s="172"/>
      <c r="Y6" s="172"/>
      <c r="Z6" s="172"/>
      <c r="AA6" s="172"/>
      <c r="AB6" s="172"/>
      <c r="AD6" s="126"/>
      <c r="AE6" s="126"/>
      <c r="AF6" s="126"/>
      <c r="AG6" s="126"/>
      <c r="AH6" s="126"/>
      <c r="AI6" s="126"/>
      <c r="AJ6" s="126"/>
    </row>
    <row r="7" spans="1:103" ht="18.75" customHeight="1" thickBot="1" x14ac:dyDescent="0.3">
      <c r="B7" s="162" t="s">
        <v>448</v>
      </c>
      <c r="C7" s="162"/>
      <c r="D7" s="162"/>
      <c r="E7" s="162"/>
      <c r="F7" s="162"/>
      <c r="G7" s="162"/>
      <c r="H7" s="162"/>
      <c r="I7" s="162"/>
      <c r="J7" s="162"/>
      <c r="K7" s="162"/>
      <c r="L7" s="162"/>
      <c r="M7" s="162"/>
      <c r="N7" s="162"/>
      <c r="O7" s="162"/>
      <c r="P7" s="172"/>
      <c r="Q7" s="172"/>
      <c r="R7" s="172"/>
      <c r="S7" s="172"/>
      <c r="T7" s="172"/>
      <c r="U7" s="172"/>
      <c r="V7" s="172"/>
      <c r="W7" s="172"/>
      <c r="X7" s="172"/>
      <c r="Y7" s="172"/>
      <c r="Z7" s="172"/>
      <c r="AA7" s="172"/>
      <c r="AB7" s="172"/>
      <c r="AD7" s="213" t="s">
        <v>452</v>
      </c>
      <c r="AE7" s="214"/>
      <c r="AF7" s="214"/>
      <c r="AG7" s="214"/>
      <c r="AH7" s="215"/>
      <c r="AI7" s="216">
        <f>'BPA Approval Status'!F1</f>
        <v>1.1100000000000001</v>
      </c>
      <c r="AJ7" s="217"/>
      <c r="AK7" s="210" t="s">
        <v>509</v>
      </c>
      <c r="AL7" s="211"/>
      <c r="AM7" s="211"/>
      <c r="AN7" s="212"/>
      <c r="AO7" s="218">
        <f>'BPA Approval Status'!L1</f>
        <v>44652</v>
      </c>
      <c r="AP7" s="211"/>
      <c r="AQ7" s="212"/>
    </row>
    <row r="8" spans="1:103" s="119" customFormat="1" ht="18.75" customHeight="1" thickBot="1" x14ac:dyDescent="0.3">
      <c r="B8" s="162" t="s">
        <v>654</v>
      </c>
      <c r="C8" s="162"/>
      <c r="D8" s="162"/>
      <c r="E8" s="162"/>
      <c r="F8" s="162"/>
      <c r="G8" s="162"/>
      <c r="H8" s="162"/>
      <c r="I8" s="162"/>
      <c r="J8" s="162"/>
      <c r="K8" s="162"/>
      <c r="L8" s="162"/>
      <c r="M8" s="162"/>
      <c r="N8" s="162"/>
      <c r="O8" s="162"/>
      <c r="P8" s="172"/>
      <c r="Q8" s="172"/>
      <c r="R8" s="172"/>
      <c r="S8" s="172"/>
      <c r="T8" s="172"/>
      <c r="U8" s="172"/>
      <c r="V8" s="172"/>
      <c r="W8" s="172"/>
      <c r="X8" s="172"/>
      <c r="Y8" s="172"/>
      <c r="Z8" s="172"/>
      <c r="AA8" s="172"/>
      <c r="AB8" s="172"/>
      <c r="AD8"/>
      <c r="AE8"/>
      <c r="AF8"/>
      <c r="AG8"/>
      <c r="AH8"/>
      <c r="AI8"/>
      <c r="AJ8"/>
      <c r="AK8"/>
      <c r="AL8"/>
      <c r="AM8"/>
      <c r="AN8"/>
      <c r="AO8"/>
      <c r="AP8"/>
      <c r="AQ8"/>
      <c r="AR8"/>
      <c r="AS8"/>
      <c r="AT8" s="80"/>
      <c r="AU8" s="80"/>
      <c r="CN8"/>
      <c r="CO8"/>
      <c r="CP8"/>
      <c r="CQ8"/>
      <c r="CR8"/>
      <c r="CS8"/>
      <c r="CT8"/>
      <c r="CU8"/>
      <c r="CV8"/>
      <c r="CW8"/>
      <c r="CX8"/>
      <c r="CY8"/>
    </row>
    <row r="9" spans="1:103" ht="18.75" customHeight="1" thickBot="1" x14ac:dyDescent="0.3">
      <c r="B9" s="162" t="s">
        <v>449</v>
      </c>
      <c r="C9" s="162"/>
      <c r="D9" s="162"/>
      <c r="E9" s="162"/>
      <c r="F9" s="162"/>
      <c r="G9" s="162"/>
      <c r="H9" s="162"/>
      <c r="I9" s="162"/>
      <c r="J9" s="162"/>
      <c r="K9" s="162"/>
      <c r="L9" s="162"/>
      <c r="M9" s="162"/>
      <c r="N9" s="162"/>
      <c r="O9" s="162"/>
      <c r="P9" s="173"/>
      <c r="Q9" s="173"/>
      <c r="R9" s="173"/>
      <c r="S9" s="173"/>
      <c r="T9" s="173"/>
      <c r="U9" s="173"/>
      <c r="V9" s="173"/>
      <c r="W9" s="173"/>
      <c r="X9" s="173"/>
      <c r="Y9" s="173"/>
      <c r="Z9" s="173"/>
      <c r="AA9" s="173"/>
      <c r="AB9" s="173"/>
      <c r="AD9" s="199" t="s">
        <v>685</v>
      </c>
      <c r="AE9" s="200"/>
      <c r="AF9" s="200"/>
      <c r="AG9" s="200"/>
      <c r="AH9" s="200"/>
      <c r="AI9" s="200"/>
      <c r="AJ9" s="201"/>
      <c r="AK9" s="205" t="str">
        <f>'BPA Approval Status'!I3</f>
        <v>Not Yet Reviewed</v>
      </c>
      <c r="AL9" s="206"/>
      <c r="AM9" s="206"/>
      <c r="AN9" s="206"/>
      <c r="AO9" s="206"/>
      <c r="AP9" s="206"/>
      <c r="AQ9" s="206"/>
      <c r="AR9" s="207"/>
      <c r="AU9" s="83"/>
    </row>
    <row r="10" spans="1:103" ht="18.75" customHeight="1" thickBot="1" x14ac:dyDescent="0.3">
      <c r="B10" s="162" t="s">
        <v>450</v>
      </c>
      <c r="C10" s="162"/>
      <c r="D10" s="162"/>
      <c r="E10" s="162"/>
      <c r="F10" s="162"/>
      <c r="G10" s="162"/>
      <c r="H10" s="162"/>
      <c r="I10" s="162"/>
      <c r="J10" s="162"/>
      <c r="K10" s="162"/>
      <c r="L10" s="162"/>
      <c r="M10" s="162"/>
      <c r="N10" s="162"/>
      <c r="O10" s="162"/>
      <c r="P10" s="172"/>
      <c r="Q10" s="172"/>
      <c r="R10" s="172"/>
      <c r="S10" s="172"/>
      <c r="T10" s="172"/>
      <c r="U10" s="172"/>
      <c r="V10" s="172"/>
      <c r="W10" s="172"/>
      <c r="X10" s="172"/>
      <c r="Y10" s="172"/>
      <c r="Z10" s="172"/>
      <c r="AA10" s="172"/>
      <c r="AB10" s="172"/>
      <c r="AD10" s="196" t="s">
        <v>686</v>
      </c>
      <c r="AE10" s="197"/>
      <c r="AF10" s="197"/>
      <c r="AG10" s="197"/>
      <c r="AH10" s="197"/>
      <c r="AI10" s="197"/>
      <c r="AJ10" s="198"/>
      <c r="AK10" s="205" t="str">
        <f>'BPA Approval Status'!I4</f>
        <v>Not Yet Reviewed</v>
      </c>
      <c r="AL10" s="206"/>
      <c r="AM10" s="206"/>
      <c r="AN10" s="206"/>
      <c r="AO10" s="206"/>
      <c r="AP10" s="206"/>
      <c r="AQ10" s="206"/>
      <c r="AR10" s="207"/>
    </row>
    <row r="11" spans="1:103" ht="18.75" customHeight="1" thickBot="1" x14ac:dyDescent="0.3">
      <c r="B11" s="162" t="s">
        <v>451</v>
      </c>
      <c r="C11" s="162"/>
      <c r="D11" s="162"/>
      <c r="E11" s="162"/>
      <c r="F11" s="162"/>
      <c r="G11" s="162"/>
      <c r="H11" s="162"/>
      <c r="I11" s="162"/>
      <c r="J11" s="162"/>
      <c r="K11" s="162"/>
      <c r="L11" s="162"/>
      <c r="M11" s="162"/>
      <c r="N11" s="162"/>
      <c r="O11" s="162"/>
      <c r="P11" s="174"/>
      <c r="Q11" s="174"/>
      <c r="R11" s="174"/>
      <c r="S11" s="174"/>
      <c r="T11" s="174"/>
      <c r="U11" s="174"/>
      <c r="V11" s="174"/>
      <c r="W11" s="174"/>
      <c r="X11" s="174"/>
      <c r="Y11" s="174"/>
      <c r="Z11" s="174"/>
      <c r="AA11" s="174"/>
      <c r="AB11" s="174"/>
      <c r="AD11" s="199" t="s">
        <v>545</v>
      </c>
      <c r="AE11" s="200"/>
      <c r="AF11" s="200"/>
      <c r="AG11" s="200"/>
      <c r="AH11" s="200"/>
      <c r="AI11" s="200"/>
      <c r="AJ11" s="201"/>
      <c r="AK11" s="205" t="str">
        <f>IF(V38&lt;800001,"N/A",IF(K40="","More Info Needed",IF(AND(V38&gt;800000,K40&lt;0.5), "Minimum B/C Not Met", "Minimum B/C Met")))</f>
        <v>N/A</v>
      </c>
      <c r="AL11" s="206"/>
      <c r="AM11" s="206"/>
      <c r="AN11" s="206"/>
      <c r="AO11" s="206"/>
      <c r="AP11" s="206"/>
      <c r="AQ11" s="206"/>
      <c r="AR11" s="207"/>
    </row>
    <row r="12" spans="1:103" ht="18.75" customHeight="1" x14ac:dyDescent="0.25">
      <c r="B12" s="162" t="s">
        <v>2</v>
      </c>
      <c r="C12" s="162"/>
      <c r="D12" s="162"/>
      <c r="E12" s="162"/>
      <c r="F12" s="162"/>
      <c r="G12" s="162"/>
      <c r="H12" s="162"/>
      <c r="I12" s="162"/>
      <c r="J12" s="162"/>
      <c r="K12" s="162"/>
      <c r="L12" s="162"/>
      <c r="M12" s="162"/>
      <c r="N12" s="162"/>
      <c r="O12" s="162"/>
      <c r="P12" s="163" t="s">
        <v>3</v>
      </c>
      <c r="Q12" s="164"/>
      <c r="R12" s="164"/>
      <c r="S12" s="164"/>
      <c r="T12" s="164"/>
      <c r="U12" s="164"/>
      <c r="V12" s="164"/>
      <c r="W12" s="164"/>
      <c r="X12" s="164"/>
      <c r="Y12" s="164"/>
      <c r="Z12" s="164"/>
      <c r="AA12" s="164"/>
      <c r="AB12" s="165"/>
    </row>
    <row r="13" spans="1:103" s="119" customFormat="1" ht="18.75" customHeight="1" x14ac:dyDescent="0.25">
      <c r="B13" s="162" t="s">
        <v>664</v>
      </c>
      <c r="C13" s="162"/>
      <c r="D13" s="162"/>
      <c r="E13" s="162"/>
      <c r="F13" s="162"/>
      <c r="G13" s="162"/>
      <c r="H13" s="162"/>
      <c r="I13" s="162"/>
      <c r="J13" s="162"/>
      <c r="K13" s="162"/>
      <c r="L13" s="162"/>
      <c r="M13" s="162"/>
      <c r="N13" s="162"/>
      <c r="O13" s="162"/>
      <c r="P13" s="175"/>
      <c r="Q13" s="175"/>
      <c r="R13" s="175"/>
      <c r="S13" s="175"/>
      <c r="T13" s="175"/>
      <c r="U13" s="175"/>
      <c r="V13" s="175"/>
      <c r="W13" s="175"/>
      <c r="X13" s="175"/>
      <c r="Y13" s="175"/>
      <c r="Z13" s="175"/>
      <c r="AA13" s="175"/>
      <c r="AB13" s="175"/>
      <c r="CN13"/>
      <c r="CO13"/>
      <c r="CP13"/>
      <c r="CQ13"/>
      <c r="CR13"/>
      <c r="CS13"/>
      <c r="CT13"/>
      <c r="CU13"/>
      <c r="CV13"/>
      <c r="CW13"/>
      <c r="CX13"/>
      <c r="CY13"/>
    </row>
    <row r="14" spans="1:103" s="119" customFormat="1" ht="18.75" customHeight="1" x14ac:dyDescent="0.25">
      <c r="B14" s="162" t="s">
        <v>665</v>
      </c>
      <c r="C14" s="162"/>
      <c r="D14" s="162"/>
      <c r="E14" s="162"/>
      <c r="F14" s="162"/>
      <c r="G14" s="162"/>
      <c r="H14" s="162"/>
      <c r="I14" s="162"/>
      <c r="J14" s="162"/>
      <c r="K14" s="162"/>
      <c r="L14" s="162"/>
      <c r="M14" s="162"/>
      <c r="N14" s="162"/>
      <c r="O14" s="162"/>
      <c r="P14" s="175"/>
      <c r="Q14" s="175"/>
      <c r="R14" s="175"/>
      <c r="S14" s="175"/>
      <c r="T14" s="175"/>
      <c r="U14" s="175"/>
      <c r="V14" s="175"/>
      <c r="W14" s="175"/>
      <c r="X14" s="175"/>
      <c r="Y14" s="175"/>
      <c r="Z14" s="175"/>
      <c r="AA14" s="175"/>
      <c r="AB14" s="175"/>
      <c r="CN14"/>
      <c r="CO14"/>
      <c r="CP14"/>
      <c r="CQ14"/>
      <c r="CR14"/>
      <c r="CS14"/>
      <c r="CT14"/>
      <c r="CU14"/>
      <c r="CV14"/>
      <c r="CW14"/>
      <c r="CX14"/>
      <c r="CY14"/>
    </row>
    <row r="15" spans="1:103" ht="18.75" customHeight="1" x14ac:dyDescent="0.25">
      <c r="B15" s="162" t="s">
        <v>510</v>
      </c>
      <c r="C15" s="162"/>
      <c r="D15" s="162"/>
      <c r="E15" s="162"/>
      <c r="F15" s="162"/>
      <c r="G15" s="162"/>
      <c r="H15" s="162"/>
      <c r="I15" s="162"/>
      <c r="J15" s="162"/>
      <c r="K15" s="162"/>
      <c r="L15" s="162"/>
      <c r="M15" s="162"/>
      <c r="N15" s="162"/>
      <c r="O15" s="162"/>
      <c r="P15" s="175"/>
      <c r="Q15" s="175"/>
      <c r="R15" s="175"/>
      <c r="S15" s="175"/>
      <c r="T15" s="175"/>
      <c r="U15" s="175"/>
      <c r="V15" s="175"/>
      <c r="W15" s="175"/>
      <c r="X15" s="175"/>
      <c r="Y15" s="175"/>
      <c r="Z15" s="175"/>
      <c r="AA15" s="175"/>
      <c r="AB15" s="175"/>
    </row>
    <row r="16" spans="1:103" s="119" customFormat="1" ht="18.75" customHeight="1" x14ac:dyDescent="0.25">
      <c r="B16" s="162" t="s">
        <v>666</v>
      </c>
      <c r="C16" s="162"/>
      <c r="D16" s="162"/>
      <c r="E16" s="162"/>
      <c r="F16" s="162"/>
      <c r="G16" s="162"/>
      <c r="H16" s="162"/>
      <c r="I16" s="162"/>
      <c r="J16" s="162"/>
      <c r="K16" s="162"/>
      <c r="L16" s="162"/>
      <c r="M16" s="162"/>
      <c r="N16" s="162"/>
      <c r="O16" s="162"/>
      <c r="P16" s="175"/>
      <c r="Q16" s="175"/>
      <c r="R16" s="175"/>
      <c r="S16" s="175"/>
      <c r="T16" s="175"/>
      <c r="U16" s="175"/>
      <c r="V16" s="175"/>
      <c r="W16" s="175"/>
      <c r="X16" s="175"/>
      <c r="Y16" s="175"/>
      <c r="Z16" s="175"/>
      <c r="AA16" s="175"/>
      <c r="AB16" s="175"/>
      <c r="AD16" s="79"/>
      <c r="AE16" s="79"/>
      <c r="AF16" s="79"/>
      <c r="AG16" s="79"/>
      <c r="AH16" s="79"/>
      <c r="AI16" s="79"/>
      <c r="CN16"/>
      <c r="CO16"/>
      <c r="CP16"/>
      <c r="CQ16"/>
      <c r="CR16"/>
      <c r="CS16"/>
      <c r="CT16"/>
      <c r="CU16"/>
      <c r="CV16"/>
      <c r="CW16"/>
      <c r="CX16"/>
      <c r="CY16"/>
    </row>
    <row r="17" spans="2:103" s="119" customFormat="1" ht="18.75" customHeight="1" x14ac:dyDescent="0.25">
      <c r="B17" s="162" t="s">
        <v>667</v>
      </c>
      <c r="C17" s="162"/>
      <c r="D17" s="162"/>
      <c r="E17" s="162"/>
      <c r="F17" s="162"/>
      <c r="G17" s="162"/>
      <c r="H17" s="162"/>
      <c r="I17" s="162"/>
      <c r="J17" s="162"/>
      <c r="K17" s="162"/>
      <c r="L17" s="162"/>
      <c r="M17" s="162"/>
      <c r="N17" s="162"/>
      <c r="O17" s="162"/>
      <c r="P17" s="175"/>
      <c r="Q17" s="175"/>
      <c r="R17" s="175"/>
      <c r="S17" s="175"/>
      <c r="T17" s="175"/>
      <c r="U17" s="175"/>
      <c r="V17" s="175"/>
      <c r="W17" s="175"/>
      <c r="X17" s="175"/>
      <c r="Y17" s="175"/>
      <c r="Z17" s="175"/>
      <c r="AA17" s="175"/>
      <c r="AB17" s="175"/>
      <c r="AD17" s="79"/>
      <c r="AE17" s="79"/>
      <c r="AF17" s="79"/>
      <c r="AG17" s="79"/>
      <c r="AH17" s="79"/>
      <c r="AI17" s="79"/>
      <c r="AJ17"/>
      <c r="AK17"/>
      <c r="AL17"/>
      <c r="AM17"/>
      <c r="AN17"/>
      <c r="AO17"/>
      <c r="AP17"/>
      <c r="AQ17"/>
      <c r="AR17"/>
      <c r="AS17"/>
      <c r="AT17"/>
      <c r="CN17"/>
      <c r="CO17"/>
      <c r="CP17"/>
      <c r="CQ17"/>
      <c r="CR17"/>
      <c r="CS17"/>
      <c r="CT17"/>
      <c r="CU17"/>
      <c r="CV17"/>
      <c r="CW17"/>
      <c r="CX17"/>
      <c r="CY17"/>
    </row>
    <row r="18" spans="2:103" ht="18.75" customHeight="1" x14ac:dyDescent="0.3">
      <c r="B18" s="222" t="s">
        <v>395</v>
      </c>
      <c r="C18" s="222"/>
      <c r="D18" s="222"/>
      <c r="E18" s="222"/>
      <c r="F18" s="222"/>
      <c r="G18" s="222"/>
      <c r="H18" s="222"/>
      <c r="I18" s="222"/>
      <c r="J18" s="222"/>
      <c r="K18" s="222"/>
      <c r="L18" s="222"/>
      <c r="M18" s="223">
        <v>1</v>
      </c>
      <c r="N18" s="223"/>
      <c r="O18" s="223"/>
      <c r="Q18" s="148" t="str">
        <f>IF(M18="","Please Enter a % EEI Value",IF(OR(M18&gt;1,M18&lt;0),"Value cannot be greater than 100% or less than 0%",IF((M18+M19)&lt;&gt;1,"EEI &amp; Self Funding % must equal 100%","")))</f>
        <v/>
      </c>
    </row>
    <row r="19" spans="2:103" ht="18.75" customHeight="1" x14ac:dyDescent="0.25">
      <c r="B19" s="222" t="s">
        <v>396</v>
      </c>
      <c r="C19" s="222"/>
      <c r="D19" s="222"/>
      <c r="E19" s="222"/>
      <c r="F19" s="222"/>
      <c r="G19" s="222"/>
      <c r="H19" s="222"/>
      <c r="I19" s="222"/>
      <c r="J19" s="222"/>
      <c r="K19" s="222"/>
      <c r="L19" s="222"/>
      <c r="M19" s="224">
        <f>IF(M18="","",1-M18)</f>
        <v>0</v>
      </c>
      <c r="N19" s="224"/>
      <c r="O19" s="224"/>
    </row>
    <row r="20" spans="2:103" ht="18.75" customHeight="1" x14ac:dyDescent="0.25">
      <c r="B20" s="78"/>
      <c r="C20" s="78"/>
      <c r="D20" s="78"/>
      <c r="E20" s="78"/>
      <c r="F20" s="78"/>
      <c r="G20" s="78"/>
      <c r="H20" s="78"/>
      <c r="I20" s="78"/>
      <c r="J20" s="78"/>
      <c r="K20" s="25"/>
      <c r="L20" s="145"/>
      <c r="M20" s="145"/>
      <c r="N20" s="145"/>
      <c r="O20" s="145"/>
      <c r="P20" s="145"/>
      <c r="Q20" s="145"/>
    </row>
    <row r="21" spans="2:103" ht="18.75" customHeight="1" x14ac:dyDescent="0.25">
      <c r="B21" s="220" t="s">
        <v>389</v>
      </c>
      <c r="C21" s="221"/>
      <c r="D21" s="221"/>
      <c r="E21" s="221"/>
      <c r="F21" s="221"/>
      <c r="G21" s="221"/>
      <c r="H21" s="221"/>
      <c r="I21" s="221"/>
      <c r="J21" s="221"/>
      <c r="K21" s="221"/>
      <c r="L21" s="221"/>
      <c r="M21" s="221"/>
      <c r="N21" s="221"/>
      <c r="O21" s="221"/>
      <c r="P21" s="241">
        <v>1</v>
      </c>
      <c r="Q21" s="242"/>
      <c r="R21" s="243"/>
      <c r="S21" s="186" t="str">
        <f>IF(P21="--Select--","&lt;---","")</f>
        <v/>
      </c>
      <c r="T21" s="187"/>
      <c r="U21" s="180" t="str">
        <f>IF(P21="--Select--","Select measure quantity to uncover workbook tabs","Please fill out the following sheets:")</f>
        <v>Please fill out the following sheets:</v>
      </c>
      <c r="V21" s="180"/>
      <c r="W21" s="180"/>
      <c r="X21" s="180"/>
      <c r="Y21" s="180"/>
      <c r="Z21" s="180"/>
      <c r="AA21" s="180"/>
      <c r="AB21" s="180"/>
      <c r="AC21" s="180"/>
      <c r="AD21" s="193" t="s">
        <v>494</v>
      </c>
      <c r="AE21" s="193"/>
      <c r="AF21" s="193" t="s">
        <v>523</v>
      </c>
      <c r="AG21" s="193"/>
      <c r="AH21" s="193" t="s">
        <v>495</v>
      </c>
      <c r="AI21" s="193"/>
      <c r="AJ21" s="193" t="s">
        <v>496</v>
      </c>
      <c r="AK21" s="193"/>
      <c r="AL21" s="193" t="s">
        <v>517</v>
      </c>
      <c r="AM21" s="193"/>
      <c r="AN21" s="193" t="s">
        <v>518</v>
      </c>
      <c r="AO21" s="193"/>
      <c r="AR21" s="17"/>
      <c r="AS21" s="17"/>
    </row>
    <row r="22" spans="2:103" ht="18.75" customHeight="1" x14ac:dyDescent="0.25">
      <c r="U22" s="180"/>
      <c r="V22" s="180"/>
      <c r="W22" s="180"/>
      <c r="X22" s="180"/>
      <c r="Y22" s="180"/>
      <c r="Z22" s="180"/>
      <c r="AA22" s="180"/>
      <c r="AB22" s="180"/>
      <c r="AC22" s="180"/>
      <c r="AO22" s="17"/>
      <c r="AR22" s="17"/>
      <c r="AS22" s="17"/>
    </row>
    <row r="23" spans="2:103" ht="18.75" customHeight="1" x14ac:dyDescent="0.25">
      <c r="B23" s="220" t="s">
        <v>516</v>
      </c>
      <c r="C23" s="221"/>
      <c r="D23" s="221"/>
      <c r="E23" s="221"/>
      <c r="F23" s="221"/>
      <c r="G23" s="221"/>
      <c r="H23" s="221"/>
      <c r="I23" s="221"/>
      <c r="J23" s="221"/>
      <c r="K23" s="221"/>
      <c r="L23" s="221"/>
      <c r="M23" s="221"/>
      <c r="N23" s="221"/>
      <c r="O23" s="221"/>
      <c r="P23" s="244">
        <v>1</v>
      </c>
      <c r="Q23" s="245"/>
      <c r="R23" s="246"/>
      <c r="S23" s="186" t="str">
        <f>IF(P23="--Select--","&lt;---","")</f>
        <v/>
      </c>
      <c r="T23" s="187"/>
      <c r="U23" s="180" t="str">
        <f>IF(P23="--Select--","Select measure quantity to uncover workbook tabs","Please fill out the following sheets:")</f>
        <v>Please fill out the following sheets:</v>
      </c>
      <c r="V23" s="180"/>
      <c r="W23" s="180"/>
      <c r="X23" s="180"/>
      <c r="Y23" s="180"/>
      <c r="Z23" s="180"/>
      <c r="AA23" s="180"/>
      <c r="AB23" s="180"/>
      <c r="AC23" s="180"/>
      <c r="AD23" s="193" t="s">
        <v>497</v>
      </c>
      <c r="AE23" s="193"/>
      <c r="AF23" s="193" t="s">
        <v>498</v>
      </c>
      <c r="AG23" s="193"/>
      <c r="AH23" s="193" t="s">
        <v>499</v>
      </c>
      <c r="AI23" s="193"/>
      <c r="AJ23" s="193" t="s">
        <v>500</v>
      </c>
      <c r="AK23" s="193"/>
      <c r="AL23" s="193" t="s">
        <v>519</v>
      </c>
      <c r="AM23" s="193"/>
      <c r="AN23" s="193" t="s">
        <v>520</v>
      </c>
      <c r="AO23" s="193"/>
      <c r="AR23" s="17"/>
      <c r="AS23" s="17"/>
    </row>
    <row r="24" spans="2:103" ht="18.75" customHeight="1" x14ac:dyDescent="0.25">
      <c r="U24" s="181"/>
      <c r="V24" s="181"/>
      <c r="W24" s="181"/>
      <c r="X24" s="181"/>
      <c r="Y24" s="181"/>
      <c r="Z24" s="181"/>
      <c r="AA24" s="181"/>
      <c r="AB24" s="181"/>
      <c r="AC24" s="181"/>
      <c r="AD24" s="147"/>
      <c r="AE24" s="147"/>
      <c r="AF24" s="147"/>
      <c r="AG24" s="147"/>
      <c r="AH24" s="147"/>
      <c r="AI24" s="147"/>
      <c r="AJ24" s="147"/>
      <c r="AK24" s="147"/>
      <c r="AL24" s="147"/>
      <c r="AM24" s="147"/>
      <c r="AN24" s="147"/>
      <c r="AO24" s="147"/>
    </row>
    <row r="25" spans="2:103" ht="31.5" customHeight="1" x14ac:dyDescent="0.25">
      <c r="B25" s="194" t="s">
        <v>535</v>
      </c>
      <c r="C25" s="194"/>
      <c r="D25" s="194"/>
      <c r="E25" s="184" t="s">
        <v>390</v>
      </c>
      <c r="F25" s="184"/>
      <c r="G25" s="184"/>
      <c r="H25" s="184"/>
      <c r="I25" s="184"/>
      <c r="J25" s="184"/>
      <c r="K25" s="184"/>
      <c r="L25" s="184"/>
      <c r="M25" s="184"/>
      <c r="N25" s="184"/>
      <c r="O25" s="184"/>
      <c r="P25" s="219" t="s">
        <v>508</v>
      </c>
      <c r="Q25" s="219"/>
      <c r="R25" s="219"/>
      <c r="S25" s="219"/>
      <c r="T25" s="219"/>
      <c r="U25" s="219"/>
      <c r="V25" s="219" t="s">
        <v>514</v>
      </c>
      <c r="W25" s="219"/>
      <c r="X25" s="219"/>
      <c r="Y25" s="219"/>
      <c r="Z25" s="219"/>
      <c r="AA25" s="219"/>
      <c r="AB25" s="176" t="s">
        <v>31</v>
      </c>
      <c r="AC25" s="176"/>
      <c r="AD25" s="176"/>
      <c r="AE25" s="176"/>
      <c r="AF25" s="176"/>
      <c r="AG25" s="176"/>
      <c r="AH25" s="202" t="s">
        <v>525</v>
      </c>
      <c r="AI25" s="203"/>
      <c r="AJ25" s="203"/>
      <c r="AK25" s="203"/>
      <c r="AL25" s="203"/>
      <c r="AM25" s="204"/>
      <c r="AN25" s="176" t="s">
        <v>526</v>
      </c>
      <c r="AO25" s="176"/>
      <c r="AP25" s="176"/>
      <c r="AQ25" s="176"/>
      <c r="AR25" s="176"/>
      <c r="AS25" s="176"/>
      <c r="AT25" s="176" t="s">
        <v>527</v>
      </c>
      <c r="AU25" s="176"/>
      <c r="AV25" s="176"/>
      <c r="AW25" s="176"/>
      <c r="AX25" s="176"/>
      <c r="AY25" s="176"/>
      <c r="BA25" s="157" t="s">
        <v>696</v>
      </c>
      <c r="BB25" s="157" t="s">
        <v>697</v>
      </c>
    </row>
    <row r="26" spans="2:103" ht="18.75" customHeight="1" x14ac:dyDescent="0.25">
      <c r="B26" s="247" t="s">
        <v>494</v>
      </c>
      <c r="C26" s="247"/>
      <c r="D26" s="247"/>
      <c r="E26" s="183" t="str">
        <f>IF(ISBLANK('RC1'!$H$4),"Re-Conductor 1",'RC1'!$H$4)</f>
        <v>Re-Conductor 1</v>
      </c>
      <c r="F26" s="183"/>
      <c r="G26" s="183"/>
      <c r="H26" s="183"/>
      <c r="I26" s="183"/>
      <c r="J26" s="183"/>
      <c r="K26" s="183"/>
      <c r="L26" s="183"/>
      <c r="M26" s="183"/>
      <c r="N26" s="183"/>
      <c r="O26" s="183"/>
      <c r="P26" s="188" t="str">
        <f>IF(OR($P$21="--Select--",$P$12="--Select--",$P$12="Transformer Only"),"",IF(OR('RC1'!R57=0,'RC1'!R57=""),"",'RC1'!R57))</f>
        <v/>
      </c>
      <c r="Q26" s="188"/>
      <c r="R26" s="188"/>
      <c r="S26" s="188"/>
      <c r="T26" s="188"/>
      <c r="U26" s="188"/>
      <c r="V26" s="182" t="str">
        <f>IF(OR($P$21="--Select--",$P$12="--Select--",$P$12="Transformer Only"),"",IF(OR('RC1'!R58=0,'RC1'!R58=""),"",'RC1'!R58))</f>
        <v/>
      </c>
      <c r="W26" s="182"/>
      <c r="X26" s="182"/>
      <c r="Y26" s="182"/>
      <c r="Z26" s="182"/>
      <c r="AA26" s="182"/>
      <c r="AB26" s="185" t="str">
        <f>IF(OR($P$21="--Select--",$P$12="--Select--",$P$12="Transformer Only"),"",IF(OR('RC1'!$R$60=0,'RC1'!$R$60=""),"",'RC1'!$R$60))</f>
        <v/>
      </c>
      <c r="AC26" s="185"/>
      <c r="AD26" s="185"/>
      <c r="AE26" s="185"/>
      <c r="AF26" s="185"/>
      <c r="AG26" s="185"/>
      <c r="AH26" s="177" t="str">
        <f>IF(OR($P$21="--Select--",$P$12="--Select--",$P$12="Transformer Only"),"",IF(OR('RC1'!R73=0,'RC1'!R73=""),"",'RC1'!R73))</f>
        <v/>
      </c>
      <c r="AI26" s="178"/>
      <c r="AJ26" s="178"/>
      <c r="AK26" s="178"/>
      <c r="AL26" s="178"/>
      <c r="AM26" s="179"/>
      <c r="AN26" s="177" t="str">
        <f>IF(OR($P$21="--Select--",$P$12="--Select--",$P$12="Transformer Only"),"",IF(OR($M$18=0,M18="",AH26=0,AH26=""),"",$M$18*AH26))</f>
        <v/>
      </c>
      <c r="AO26" s="178"/>
      <c r="AP26" s="178"/>
      <c r="AQ26" s="178"/>
      <c r="AR26" s="178"/>
      <c r="AS26" s="179"/>
      <c r="AT26" s="177" t="str">
        <f t="shared" ref="AT26:AT31" si="0">IF(OR($P$21="--Select--",$P$12="--Select--",$P$12="Transformer Only"),"",IF(OR($M$19=0,$M$19="",AH26=0,AH26=""),"",$M$19*AH26))</f>
        <v/>
      </c>
      <c r="AU26" s="178"/>
      <c r="AV26" s="178"/>
      <c r="AW26" s="178"/>
      <c r="AX26" s="178"/>
      <c r="AY26" s="179"/>
      <c r="BA26" s="160" t="e">
        <f>AN26/$AH26</f>
        <v>#VALUE!</v>
      </c>
      <c r="BB26" s="160" t="e">
        <f>AT26/$AH26</f>
        <v>#VALUE!</v>
      </c>
    </row>
    <row r="27" spans="2:103" ht="18.75" customHeight="1" x14ac:dyDescent="0.25">
      <c r="B27" s="247" t="s">
        <v>523</v>
      </c>
      <c r="C27" s="247"/>
      <c r="D27" s="247"/>
      <c r="E27" s="183" t="str">
        <f>IF(ISBLANK('RC2'!$H$4),"Re-Conductor 2",'RC2'!$H$4)</f>
        <v>Re-Conductor 2</v>
      </c>
      <c r="F27" s="183"/>
      <c r="G27" s="183"/>
      <c r="H27" s="183"/>
      <c r="I27" s="183"/>
      <c r="J27" s="183"/>
      <c r="K27" s="183"/>
      <c r="L27" s="183"/>
      <c r="M27" s="183"/>
      <c r="N27" s="183"/>
      <c r="O27" s="183"/>
      <c r="P27" s="188" t="str">
        <f>IF(OR($P$21="--Select--",$P$21&lt;2,$P$12="--Select--",$P$12="Transformer Only"),"",IF(OR('RC2'!R57=0,'RC2'!R57=""),"",'RC2'!R57))</f>
        <v/>
      </c>
      <c r="Q27" s="188"/>
      <c r="R27" s="188"/>
      <c r="S27" s="188"/>
      <c r="T27" s="188"/>
      <c r="U27" s="188"/>
      <c r="V27" s="182" t="str">
        <f>IF(OR($P$21="--Select--",$P$21&lt;2,$P$12="--Select--",$P$12="Transformer Only"),"",IF(OR('RC2'!R58=0,'RC2'!R58=""),"",'RC2'!R58))</f>
        <v/>
      </c>
      <c r="W27" s="182"/>
      <c r="X27" s="182"/>
      <c r="Y27" s="182"/>
      <c r="Z27" s="182"/>
      <c r="AA27" s="182"/>
      <c r="AB27" s="185" t="str">
        <f>IF(OR($P$21="--Select--",$P$21&lt;2,$P$12="--Select--",$P$12="Transformer Only"),"",IF(OR('RC2'!$R$60=0,'RC2'!$R$60=""),"",'RC2'!$R$60))</f>
        <v/>
      </c>
      <c r="AC27" s="185"/>
      <c r="AD27" s="185"/>
      <c r="AE27" s="185"/>
      <c r="AF27" s="185"/>
      <c r="AG27" s="185"/>
      <c r="AH27" s="177" t="str">
        <f>IF(OR($P$21="--Select--",$P$21&lt;2,$P$12="--Select--",$P$12="Transformer Only"),"",IF(OR('RC2'!R73=0,'RC2'!R73=""),"",'RC2'!R73))</f>
        <v/>
      </c>
      <c r="AI27" s="178"/>
      <c r="AJ27" s="178"/>
      <c r="AK27" s="178"/>
      <c r="AL27" s="178"/>
      <c r="AM27" s="179"/>
      <c r="AN27" s="177" t="str">
        <f>IF(OR($P$21="--Select--",$P$12="--Select--",$P$12="Transformer Only"),"",IF(OR($M$18=0,$M$18="",AH27=0,AH27=""),"",$M$18*AH27))</f>
        <v/>
      </c>
      <c r="AO27" s="178"/>
      <c r="AP27" s="178"/>
      <c r="AQ27" s="178"/>
      <c r="AR27" s="178"/>
      <c r="AS27" s="179"/>
      <c r="AT27" s="177" t="str">
        <f t="shared" si="0"/>
        <v/>
      </c>
      <c r="AU27" s="178"/>
      <c r="AV27" s="178"/>
      <c r="AW27" s="178"/>
      <c r="AX27" s="178"/>
      <c r="AY27" s="179"/>
      <c r="BA27" s="160" t="e">
        <f t="shared" ref="BA27:BA38" si="1">AN27/$AH27</f>
        <v>#VALUE!</v>
      </c>
      <c r="BB27" s="160" t="e">
        <f t="shared" ref="BB27:BB38" si="2">AT27/$AH27</f>
        <v>#VALUE!</v>
      </c>
    </row>
    <row r="28" spans="2:103" ht="18.75" customHeight="1" x14ac:dyDescent="0.25">
      <c r="B28" s="247" t="s">
        <v>495</v>
      </c>
      <c r="C28" s="247"/>
      <c r="D28" s="247"/>
      <c r="E28" s="183" t="str">
        <f>IF(ISBLANK('RC3'!$H$4),"Re-Conductor 3",'RC3'!$H$4)</f>
        <v>Re-Conductor 3</v>
      </c>
      <c r="F28" s="183"/>
      <c r="G28" s="183"/>
      <c r="H28" s="183"/>
      <c r="I28" s="183"/>
      <c r="J28" s="183"/>
      <c r="K28" s="183"/>
      <c r="L28" s="183"/>
      <c r="M28" s="183"/>
      <c r="N28" s="183"/>
      <c r="O28" s="183"/>
      <c r="P28" s="188" t="str">
        <f>IF(OR($P$21="--Select--",$P$21&lt;3,$P$12="--Select--",$P$12="Transformer Only"),"",IF(OR('RC3'!$R$57=0,'RC3'!$R$57=""),"",'RC3'!$R$57))</f>
        <v/>
      </c>
      <c r="Q28" s="188"/>
      <c r="R28" s="188"/>
      <c r="S28" s="188"/>
      <c r="T28" s="188"/>
      <c r="U28" s="188"/>
      <c r="V28" s="182" t="str">
        <f>IF(OR($P$21="--Select--",$P$21&lt;3,$P$12="--Select--",$P$12="Transformer Only"),"",IF(OR('RC3'!R58=0,'RC3'!R58=""),"",'RC3'!R58))</f>
        <v/>
      </c>
      <c r="W28" s="182"/>
      <c r="X28" s="182"/>
      <c r="Y28" s="182"/>
      <c r="Z28" s="182"/>
      <c r="AA28" s="182"/>
      <c r="AB28" s="185" t="str">
        <f>IF(OR($P$21="--Select--",$P$21&lt;3,$P$12="--Select--",$P$12="Transformer Only"),"",IF(OR('RC3'!$R$60=0,'RC3'!$R$60=""),"",'RC3'!$R$60))</f>
        <v/>
      </c>
      <c r="AC28" s="185"/>
      <c r="AD28" s="185"/>
      <c r="AE28" s="185"/>
      <c r="AF28" s="185"/>
      <c r="AG28" s="185"/>
      <c r="AH28" s="177" t="str">
        <f>IF(OR($P$21="--Select--",$P$21&lt;3,$P$12="--Select--",$P$12="Transformer Only"),"",IF(OR('RC3'!R73=0,'RC3'!R73=""),"",'RC3'!R73))</f>
        <v/>
      </c>
      <c r="AI28" s="178"/>
      <c r="AJ28" s="178"/>
      <c r="AK28" s="178"/>
      <c r="AL28" s="178"/>
      <c r="AM28" s="179"/>
      <c r="AN28" s="177" t="str">
        <f>IF(OR($P$21="--Select--",$P$12="--Select--",$P$12="Transformer Only"),"",IF(OR($M$18=0,$M$18="",AH28=0,AH28=""),"",$M$18*AH28))</f>
        <v/>
      </c>
      <c r="AO28" s="178"/>
      <c r="AP28" s="178"/>
      <c r="AQ28" s="178"/>
      <c r="AR28" s="178"/>
      <c r="AS28" s="179"/>
      <c r="AT28" s="177" t="str">
        <f t="shared" si="0"/>
        <v/>
      </c>
      <c r="AU28" s="178"/>
      <c r="AV28" s="178"/>
      <c r="AW28" s="178"/>
      <c r="AX28" s="178"/>
      <c r="AY28" s="179"/>
      <c r="BA28" s="160" t="e">
        <f t="shared" si="1"/>
        <v>#VALUE!</v>
      </c>
      <c r="BB28" s="160" t="e">
        <f t="shared" si="2"/>
        <v>#VALUE!</v>
      </c>
    </row>
    <row r="29" spans="2:103" ht="18.75" customHeight="1" x14ac:dyDescent="0.25">
      <c r="B29" s="247" t="s">
        <v>496</v>
      </c>
      <c r="C29" s="247"/>
      <c r="D29" s="247"/>
      <c r="E29" s="183" t="str">
        <f>IF(ISBLANK('RC4'!$H$4),"Re-Conductor 4",'RC4'!$H$4)</f>
        <v>Re-Conductor 4</v>
      </c>
      <c r="F29" s="183"/>
      <c r="G29" s="183"/>
      <c r="H29" s="183"/>
      <c r="I29" s="183"/>
      <c r="J29" s="183"/>
      <c r="K29" s="183"/>
      <c r="L29" s="183"/>
      <c r="M29" s="183"/>
      <c r="N29" s="183"/>
      <c r="O29" s="183"/>
      <c r="P29" s="188" t="str">
        <f>IF(OR($P$21="--Select--",$P$21&lt;4,$P$12="--Select--",$P$12="Transformer Only"),"",IF(OR('RC4'!$R$57=0,'RC4'!$R$57=""),"",'RC4'!$R$57))</f>
        <v/>
      </c>
      <c r="Q29" s="188"/>
      <c r="R29" s="188"/>
      <c r="S29" s="188"/>
      <c r="T29" s="188"/>
      <c r="U29" s="188"/>
      <c r="V29" s="182" t="str">
        <f>IF(OR($P$21="--Select--",$P$21&lt;4,$P$12="--Select--",$P$12="Transformer Only"),"",IF(OR('RC4'!R58=0,'RC4'!R58=""),"",'RC4'!R58))</f>
        <v/>
      </c>
      <c r="W29" s="182"/>
      <c r="X29" s="182"/>
      <c r="Y29" s="182"/>
      <c r="Z29" s="182"/>
      <c r="AA29" s="182"/>
      <c r="AB29" s="185" t="str">
        <f>IF(OR($P$21="--Select--",$P$21&lt;4,$P$12="--Select--",$P$12="Transformer Only"),"",IF(OR('RC4'!$R$60=0,'RC4'!$R$60=""),"",'RC4'!$R$60))</f>
        <v/>
      </c>
      <c r="AC29" s="185"/>
      <c r="AD29" s="185"/>
      <c r="AE29" s="185"/>
      <c r="AF29" s="185"/>
      <c r="AG29" s="185"/>
      <c r="AH29" s="177" t="str">
        <f>IF(OR($P$21="--Select--",$P$21&lt;4,$P$12="--Select--",$P$12="Transformer Only"),"",IF(OR('RC4'!R73=0,'RC4'!R73=""),"",'RC4'!R73))</f>
        <v/>
      </c>
      <c r="AI29" s="178"/>
      <c r="AJ29" s="178"/>
      <c r="AK29" s="178"/>
      <c r="AL29" s="178"/>
      <c r="AM29" s="179"/>
      <c r="AN29" s="177" t="str">
        <f>IF(OR($P$21="--Select--",$P$12="--Select--",$P$12="Transformer Only"),"",IF(OR($M$18=0,$M$18="",AH29=0,AH29=""),"",$M$18*AH29))</f>
        <v/>
      </c>
      <c r="AO29" s="178"/>
      <c r="AP29" s="178"/>
      <c r="AQ29" s="178"/>
      <c r="AR29" s="178"/>
      <c r="AS29" s="179"/>
      <c r="AT29" s="177" t="str">
        <f t="shared" si="0"/>
        <v/>
      </c>
      <c r="AU29" s="178"/>
      <c r="AV29" s="178"/>
      <c r="AW29" s="178"/>
      <c r="AX29" s="178"/>
      <c r="AY29" s="179"/>
      <c r="BA29" s="160" t="e">
        <f t="shared" si="1"/>
        <v>#VALUE!</v>
      </c>
      <c r="BB29" s="160" t="e">
        <f t="shared" si="2"/>
        <v>#VALUE!</v>
      </c>
    </row>
    <row r="30" spans="2:103" ht="18.75" customHeight="1" x14ac:dyDescent="0.25">
      <c r="B30" s="247" t="s">
        <v>517</v>
      </c>
      <c r="C30" s="247"/>
      <c r="D30" s="247"/>
      <c r="E30" s="183" t="str">
        <f>IF(ISBLANK('RC5'!$H$4),"Re-Conductor 5",'RC5'!$H$4)</f>
        <v>Re-Conductor 5</v>
      </c>
      <c r="F30" s="183"/>
      <c r="G30" s="183"/>
      <c r="H30" s="183"/>
      <c r="I30" s="183"/>
      <c r="J30" s="183"/>
      <c r="K30" s="183"/>
      <c r="L30" s="183"/>
      <c r="M30" s="183"/>
      <c r="N30" s="183"/>
      <c r="O30" s="183"/>
      <c r="P30" s="188" t="str">
        <f>IF(OR($P$21="--Select--",$P$21&lt;5,$P$12="--Select--",$P$12="Transformer Only"),"",IF(OR('RC5'!$R$57=0,'RC5'!$R$57=""),"",'RC5'!$R$57))</f>
        <v/>
      </c>
      <c r="Q30" s="188"/>
      <c r="R30" s="188"/>
      <c r="S30" s="188"/>
      <c r="T30" s="188"/>
      <c r="U30" s="188"/>
      <c r="V30" s="182" t="str">
        <f>IF(OR($P$21="--Select--",$P$21&lt;5,$P$12="--Select--",$P$12="Transformer Only"),"",IF(OR('RC5'!R58=0,'RC5'!R58=""),"",'RC5'!R58))</f>
        <v/>
      </c>
      <c r="W30" s="182"/>
      <c r="X30" s="182"/>
      <c r="Y30" s="182"/>
      <c r="Z30" s="182"/>
      <c r="AA30" s="182"/>
      <c r="AB30" s="185" t="str">
        <f>IF(OR($P$21="--Select--",$P$21&lt;5,$P$12="--Select--",$P$12="Transformer Only"),"",IF(OR('RC5'!$R$60=0,'RC5'!$R$60=""),"",'RC5'!$R$60))</f>
        <v/>
      </c>
      <c r="AC30" s="185"/>
      <c r="AD30" s="185"/>
      <c r="AE30" s="185"/>
      <c r="AF30" s="185"/>
      <c r="AG30" s="185"/>
      <c r="AH30" s="177" t="str">
        <f>IF(OR($P$21="--Select--",$P$21&lt;5,$P$12="--Select--",$P$12="Transformer Only"),"",IF(OR('RC5'!R73=0,'RC5'!R73=""),"",'RC5'!R73))</f>
        <v/>
      </c>
      <c r="AI30" s="178"/>
      <c r="AJ30" s="178"/>
      <c r="AK30" s="178"/>
      <c r="AL30" s="178"/>
      <c r="AM30" s="179"/>
      <c r="AN30" s="177" t="str">
        <f>IF(OR($P$21="--Select--",$P$12="--Select--",$P$12="Transformer Only"),"",IF(OR($M$18=0,$M$18="",AH30=0,AH30=""),"",$M$18*AH30))</f>
        <v/>
      </c>
      <c r="AO30" s="178"/>
      <c r="AP30" s="178"/>
      <c r="AQ30" s="178"/>
      <c r="AR30" s="178"/>
      <c r="AS30" s="179"/>
      <c r="AT30" s="177" t="str">
        <f t="shared" si="0"/>
        <v/>
      </c>
      <c r="AU30" s="178"/>
      <c r="AV30" s="178"/>
      <c r="AW30" s="178"/>
      <c r="AX30" s="178"/>
      <c r="AY30" s="179"/>
      <c r="BA30" s="160" t="e">
        <f t="shared" si="1"/>
        <v>#VALUE!</v>
      </c>
      <c r="BB30" s="160" t="e">
        <f t="shared" si="2"/>
        <v>#VALUE!</v>
      </c>
    </row>
    <row r="31" spans="2:103" ht="18.75" customHeight="1" x14ac:dyDescent="0.25">
      <c r="B31" s="247" t="s">
        <v>518</v>
      </c>
      <c r="C31" s="247"/>
      <c r="D31" s="247"/>
      <c r="E31" s="183" t="str">
        <f>IF(ISBLANK('RC6'!$H$4),"Re-Conductor 6",'RC6'!$H$4)</f>
        <v>Re-Conductor 6</v>
      </c>
      <c r="F31" s="183"/>
      <c r="G31" s="183"/>
      <c r="H31" s="183"/>
      <c r="I31" s="183"/>
      <c r="J31" s="183"/>
      <c r="K31" s="183"/>
      <c r="L31" s="183"/>
      <c r="M31" s="183"/>
      <c r="N31" s="183"/>
      <c r="O31" s="183"/>
      <c r="P31" s="188" t="str">
        <f>IF(OR($P$21="--Select--",$P$21&lt;6,$P$12="--Select--",$P$12="Transformer Only"),"",IF(OR('RC6'!$R$57=0,'RC6'!$R$57=""),"",'RC6'!$R$57))</f>
        <v/>
      </c>
      <c r="Q31" s="188"/>
      <c r="R31" s="188"/>
      <c r="S31" s="188"/>
      <c r="T31" s="188"/>
      <c r="U31" s="188"/>
      <c r="V31" s="182" t="str">
        <f>IF(OR($P$21="--Select--",$P$21&lt;6,$P$12="--Select--",$P$12="Transformer Only"),"",IF(OR('RC6'!R58=0,'RC6'!R58=""),"",'RC6'!R58))</f>
        <v/>
      </c>
      <c r="W31" s="182"/>
      <c r="X31" s="182"/>
      <c r="Y31" s="182"/>
      <c r="Z31" s="182"/>
      <c r="AA31" s="182"/>
      <c r="AB31" s="185" t="str">
        <f>IF(OR($P$21="--Select--",$P$21&lt;6,$P$12="--Select--",$P$12="Transformer Only"),"",IF(OR('RC6'!$R$60=0,'RC6'!$R$60=""),"",'RC6'!$R$60))</f>
        <v/>
      </c>
      <c r="AC31" s="185"/>
      <c r="AD31" s="185"/>
      <c r="AE31" s="185"/>
      <c r="AF31" s="185"/>
      <c r="AG31" s="185"/>
      <c r="AH31" s="177" t="str">
        <f>IF(OR($P$21="--Select--",$P$21&lt;6,$P$12="--Select--",$P$12="Transformer Only"),"",IF(OR('RC6'!R73=0,'RC6'!R73=""),"",'RC6'!R73))</f>
        <v/>
      </c>
      <c r="AI31" s="178"/>
      <c r="AJ31" s="178"/>
      <c r="AK31" s="178"/>
      <c r="AL31" s="178"/>
      <c r="AM31" s="179"/>
      <c r="AN31" s="177" t="str">
        <f>IF(OR($P$21="--Select--",$P$12="--Select--",$P$12="Transformer Only"),"",IF(OR($M$18=0,$M$18="",AH31=0,AH31=""),"",$M$18*AH31))</f>
        <v/>
      </c>
      <c r="AO31" s="178"/>
      <c r="AP31" s="178"/>
      <c r="AQ31" s="178"/>
      <c r="AR31" s="178"/>
      <c r="AS31" s="179"/>
      <c r="AT31" s="177" t="str">
        <f t="shared" si="0"/>
        <v/>
      </c>
      <c r="AU31" s="178"/>
      <c r="AV31" s="178"/>
      <c r="AW31" s="178"/>
      <c r="AX31" s="178"/>
      <c r="AY31" s="179"/>
      <c r="BA31" s="160" t="e">
        <f t="shared" si="1"/>
        <v>#VALUE!</v>
      </c>
      <c r="BB31" s="160" t="e">
        <f t="shared" si="2"/>
        <v>#VALUE!</v>
      </c>
    </row>
    <row r="32" spans="2:103" ht="18.75" customHeight="1" x14ac:dyDescent="0.25">
      <c r="B32" s="247" t="s">
        <v>497</v>
      </c>
      <c r="C32" s="247"/>
      <c r="D32" s="247"/>
      <c r="E32" s="183" t="str">
        <f>IF(ISBLANK('TF1'!$H$4),"Transformer 1",'TF1'!$H$4)</f>
        <v>Transformer 1</v>
      </c>
      <c r="F32" s="183"/>
      <c r="G32" s="183"/>
      <c r="H32" s="183"/>
      <c r="I32" s="183"/>
      <c r="J32" s="183"/>
      <c r="K32" s="183"/>
      <c r="L32" s="183"/>
      <c r="M32" s="183"/>
      <c r="N32" s="183"/>
      <c r="O32" s="183"/>
      <c r="P32" s="188" t="str">
        <f>IF(OR($P$23="--Select--",$P$12="--Select--",$P$12="Re-Conductor Only"),"",IF(OR('TF1'!$S$36="",'TF1'!$S$36=0),"",'TF1'!$S$36))</f>
        <v/>
      </c>
      <c r="Q32" s="188"/>
      <c r="R32" s="188"/>
      <c r="S32" s="188"/>
      <c r="T32" s="188"/>
      <c r="U32" s="188"/>
      <c r="V32" s="182" t="str">
        <f>IF(OR($P$23="--Select--",$P$12="--Select--",$P$12="Re-Conductor Only"),"",IF(OR('TF1'!$S$37="",'TF1'!$S$37=0),"",'TF1'!$S$37))</f>
        <v/>
      </c>
      <c r="W32" s="182"/>
      <c r="X32" s="182"/>
      <c r="Y32" s="182"/>
      <c r="Z32" s="182"/>
      <c r="AA32" s="182"/>
      <c r="AB32" s="185" t="str">
        <f>IF(OR($P$23="--Select--",$P$12="--Select--",$P$12="Re-Conductor Only"),"",IF(OR('TF1'!$S$40="",'TF1'!$S$40=0),"",'TF1'!$S$40))</f>
        <v/>
      </c>
      <c r="AC32" s="185"/>
      <c r="AD32" s="185"/>
      <c r="AE32" s="185"/>
      <c r="AF32" s="185"/>
      <c r="AG32" s="185"/>
      <c r="AH32" s="177" t="str">
        <f>IF(OR($P$23="--Select--",$P$12="--Select--",$P$12="Re-Conductor Only"),"",IF(OR('TF1'!$S$54="",'TF1'!$S$54=0),"",'TF1'!$S$54))</f>
        <v/>
      </c>
      <c r="AI32" s="178"/>
      <c r="AJ32" s="178"/>
      <c r="AK32" s="178"/>
      <c r="AL32" s="178"/>
      <c r="AM32" s="179"/>
      <c r="AN32" s="185" t="str">
        <f t="shared" ref="AN32:AN37" si="3">IF(OR($P$23="--Select--",$P$12="--Select--",$P$12="Re-Conductor Only"),"",IF(OR($M$18=0,$M$18="",AH32=0,AH32=""),"",$M$18*AH32))</f>
        <v/>
      </c>
      <c r="AO32" s="185"/>
      <c r="AP32" s="185"/>
      <c r="AQ32" s="185"/>
      <c r="AR32" s="185"/>
      <c r="AS32" s="185"/>
      <c r="AT32" s="185" t="str">
        <f t="shared" ref="AT32:AT37" si="4">IF(OR($P$23="--Select--",$P$12="--Select--",$P$12="Re-Conductor Only"),"",IF(OR($M$19=0,$M$19="",AH32=0,AH32=""),"",$M$19*AH32))</f>
        <v/>
      </c>
      <c r="AU32" s="185"/>
      <c r="AV32" s="185"/>
      <c r="AW32" s="185"/>
      <c r="AX32" s="185"/>
      <c r="AY32" s="185"/>
      <c r="BA32" s="160" t="e">
        <f t="shared" si="1"/>
        <v>#VALUE!</v>
      </c>
      <c r="BB32" s="160" t="e">
        <f t="shared" si="2"/>
        <v>#VALUE!</v>
      </c>
    </row>
    <row r="33" spans="2:54" ht="18.75" customHeight="1" x14ac:dyDescent="0.25">
      <c r="B33" s="247" t="s">
        <v>498</v>
      </c>
      <c r="C33" s="247"/>
      <c r="D33" s="247"/>
      <c r="E33" s="183" t="str">
        <f>IF(ISBLANK('TF2'!$H$4),"Transformer 2",'TF2'!$H$4)</f>
        <v>Transformer 2</v>
      </c>
      <c r="F33" s="183"/>
      <c r="G33" s="183"/>
      <c r="H33" s="183"/>
      <c r="I33" s="183"/>
      <c r="J33" s="183"/>
      <c r="K33" s="183"/>
      <c r="L33" s="183"/>
      <c r="M33" s="183"/>
      <c r="N33" s="183"/>
      <c r="O33" s="183"/>
      <c r="P33" s="188" t="str">
        <f>IF(OR($P$23="--Select--",$P$23&lt;2,$P$12="--Select--",$P$12="Re-Conductor Only"),"",IF(OR('TF2'!$S$36=0,'TF2'!$S$36=""),"",'TF2'!$S$36))</f>
        <v/>
      </c>
      <c r="Q33" s="188"/>
      <c r="R33" s="188"/>
      <c r="S33" s="188"/>
      <c r="T33" s="188"/>
      <c r="U33" s="188"/>
      <c r="V33" s="182" t="str">
        <f>IF(OR($P$23="--Select--",$P$23&lt;2,$P$12="--Select--",$P$12="Re-Conductor Only"),"",IF(OR('TF2'!$S$37=0,'TF2'!$S$37=""),"",'TF2'!$S$37))</f>
        <v/>
      </c>
      <c r="W33" s="182"/>
      <c r="X33" s="182"/>
      <c r="Y33" s="182"/>
      <c r="Z33" s="182"/>
      <c r="AA33" s="182"/>
      <c r="AB33" s="185" t="str">
        <f>IF(OR($P$23="--Select--",$P$23&lt;2,$P$12="--Select--",$P$12="Re-Conductor Only"),"",IF(OR('TF2'!$S$40=0,'TF2'!$S$40=""),"",'TF2'!$S$40))</f>
        <v/>
      </c>
      <c r="AC33" s="185"/>
      <c r="AD33" s="185"/>
      <c r="AE33" s="185"/>
      <c r="AF33" s="185"/>
      <c r="AG33" s="185"/>
      <c r="AH33" s="177" t="str">
        <f>IF(OR($P$23="--Select--",$P$23&lt;2,$P$12="--Select--",$P$12="Re-Conductor Only"),"",IF(OR('TF2'!$S$54=0,'TF2'!$S$54=""),"",'TF2'!$S$54))</f>
        <v/>
      </c>
      <c r="AI33" s="178"/>
      <c r="AJ33" s="178"/>
      <c r="AK33" s="178"/>
      <c r="AL33" s="178"/>
      <c r="AM33" s="179"/>
      <c r="AN33" s="185" t="str">
        <f t="shared" si="3"/>
        <v/>
      </c>
      <c r="AO33" s="185"/>
      <c r="AP33" s="185"/>
      <c r="AQ33" s="185"/>
      <c r="AR33" s="185"/>
      <c r="AS33" s="185"/>
      <c r="AT33" s="185" t="str">
        <f t="shared" si="4"/>
        <v/>
      </c>
      <c r="AU33" s="185"/>
      <c r="AV33" s="185"/>
      <c r="AW33" s="185"/>
      <c r="AX33" s="185"/>
      <c r="AY33" s="185"/>
      <c r="BA33" s="160" t="e">
        <f t="shared" si="1"/>
        <v>#VALUE!</v>
      </c>
      <c r="BB33" s="160" t="e">
        <f t="shared" si="2"/>
        <v>#VALUE!</v>
      </c>
    </row>
    <row r="34" spans="2:54" ht="18.75" customHeight="1" x14ac:dyDescent="0.25">
      <c r="B34" s="247" t="s">
        <v>499</v>
      </c>
      <c r="C34" s="247"/>
      <c r="D34" s="247"/>
      <c r="E34" s="183" t="str">
        <f>IF(ISBLANK('TF3'!$H$4),"Transformer 3",'TF3'!$H$4)</f>
        <v>Transformer 3</v>
      </c>
      <c r="F34" s="183"/>
      <c r="G34" s="183"/>
      <c r="H34" s="183"/>
      <c r="I34" s="183"/>
      <c r="J34" s="183"/>
      <c r="K34" s="183"/>
      <c r="L34" s="183"/>
      <c r="M34" s="183"/>
      <c r="N34" s="183"/>
      <c r="O34" s="183"/>
      <c r="P34" s="188" t="str">
        <f>IF(OR($P$23="--Select--",$P$23&lt;3,$P$12="--Select--",$P$12="Re-Conductor Only"),"",IF(OR('TF3'!$S$36=0,'TF3'!$S$36=""),"",'TF3'!$S$36))</f>
        <v/>
      </c>
      <c r="Q34" s="188"/>
      <c r="R34" s="188"/>
      <c r="S34" s="188"/>
      <c r="T34" s="188"/>
      <c r="U34" s="188"/>
      <c r="V34" s="182" t="str">
        <f>IF(OR($P$23="--Select--",$P$23&lt;3,$P$12="--Select--",$P$12="Re-Conductor Only"),"",IF(OR('TF3'!$S$37=0,'TF3'!$S$37=""),"",'TF3'!$S$37))</f>
        <v/>
      </c>
      <c r="W34" s="182"/>
      <c r="X34" s="182"/>
      <c r="Y34" s="182"/>
      <c r="Z34" s="182"/>
      <c r="AA34" s="182"/>
      <c r="AB34" s="185" t="str">
        <f>IF(OR($P$23="--Select--",$P$23&lt;3,$P$12="--Select--",$P$12="Re-Conductor Only"),"",IF(OR('TF3'!$S$40=0,'TF3'!$S$40=""),"",'TF3'!$S$40))</f>
        <v/>
      </c>
      <c r="AC34" s="185"/>
      <c r="AD34" s="185"/>
      <c r="AE34" s="185"/>
      <c r="AF34" s="185"/>
      <c r="AG34" s="185"/>
      <c r="AH34" s="177" t="str">
        <f>IF(OR($P$23="--Select--",$P$23&lt;3,$P$12="--Select--",$P$12="Re-Conductor Only"),"",IF(OR('TF3'!$S$54=0,'TF3'!$S$54=""),"",'TF3'!$S$54))</f>
        <v/>
      </c>
      <c r="AI34" s="178"/>
      <c r="AJ34" s="178"/>
      <c r="AK34" s="178"/>
      <c r="AL34" s="178"/>
      <c r="AM34" s="179"/>
      <c r="AN34" s="185" t="str">
        <f t="shared" si="3"/>
        <v/>
      </c>
      <c r="AO34" s="185"/>
      <c r="AP34" s="185"/>
      <c r="AQ34" s="185"/>
      <c r="AR34" s="185"/>
      <c r="AS34" s="185"/>
      <c r="AT34" s="185" t="str">
        <f t="shared" si="4"/>
        <v/>
      </c>
      <c r="AU34" s="185"/>
      <c r="AV34" s="185"/>
      <c r="AW34" s="185"/>
      <c r="AX34" s="185"/>
      <c r="AY34" s="185"/>
      <c r="BA34" s="160" t="e">
        <f t="shared" si="1"/>
        <v>#VALUE!</v>
      </c>
      <c r="BB34" s="160" t="e">
        <f t="shared" si="2"/>
        <v>#VALUE!</v>
      </c>
    </row>
    <row r="35" spans="2:54" ht="18.75" customHeight="1" x14ac:dyDescent="0.25">
      <c r="B35" s="247" t="s">
        <v>500</v>
      </c>
      <c r="C35" s="247"/>
      <c r="D35" s="247"/>
      <c r="E35" s="183" t="str">
        <f>IF(ISBLANK('TF4'!$H$4),"Transformer 4",'TF4'!$H$4)</f>
        <v>Transformer 4</v>
      </c>
      <c r="F35" s="183"/>
      <c r="G35" s="183"/>
      <c r="H35" s="183"/>
      <c r="I35" s="183"/>
      <c r="J35" s="183"/>
      <c r="K35" s="183"/>
      <c r="L35" s="183"/>
      <c r="M35" s="183"/>
      <c r="N35" s="183"/>
      <c r="O35" s="183"/>
      <c r="P35" s="188" t="str">
        <f>IF(OR($P$23="--Select--",$P$23&lt;4,$P$12="--Select--",$P$12="Re-Conductor Only"),"",IF(OR('TF4'!$S$36=0,'TF4'!$S$36=""),"",'TF4'!$S$36))</f>
        <v/>
      </c>
      <c r="Q35" s="188"/>
      <c r="R35" s="188"/>
      <c r="S35" s="188"/>
      <c r="T35" s="188"/>
      <c r="U35" s="188"/>
      <c r="V35" s="182" t="str">
        <f>IF(OR($P$23="--Select--",$P$23&lt;4,$P$12="--Select--",$P$12="Re-Conductor Only"),"",IF(OR('TF4'!$S$37=0,'TF4'!$S$37=""),"",'TF4'!$S$37))</f>
        <v/>
      </c>
      <c r="W35" s="182"/>
      <c r="X35" s="182"/>
      <c r="Y35" s="182"/>
      <c r="Z35" s="182"/>
      <c r="AA35" s="182"/>
      <c r="AB35" s="185" t="str">
        <f>IF(OR($P$23="--Select--",$P$23&lt;4,$P$12="--Select--",$P$12="Re-Conductor Only"),"",IF(OR('TF4'!$S$40=0,'TF4'!$S$40=""),"",'TF4'!$S$40))</f>
        <v/>
      </c>
      <c r="AC35" s="185"/>
      <c r="AD35" s="185"/>
      <c r="AE35" s="185"/>
      <c r="AF35" s="185"/>
      <c r="AG35" s="185"/>
      <c r="AH35" s="177" t="str">
        <f>IF(OR($P$23="--Select--",$P$23&lt;4,$P$12="--Select--",$P$12="Re-Conductor Only"),"",IF(OR('TF4'!$S$54=0,'TF4'!$S$54=""),"",'TF4'!$S$54))</f>
        <v/>
      </c>
      <c r="AI35" s="178"/>
      <c r="AJ35" s="178"/>
      <c r="AK35" s="178"/>
      <c r="AL35" s="178"/>
      <c r="AM35" s="179"/>
      <c r="AN35" s="185" t="str">
        <f t="shared" si="3"/>
        <v/>
      </c>
      <c r="AO35" s="185"/>
      <c r="AP35" s="185"/>
      <c r="AQ35" s="185"/>
      <c r="AR35" s="185"/>
      <c r="AS35" s="185"/>
      <c r="AT35" s="185" t="str">
        <f t="shared" si="4"/>
        <v/>
      </c>
      <c r="AU35" s="185"/>
      <c r="AV35" s="185"/>
      <c r="AW35" s="185"/>
      <c r="AX35" s="185"/>
      <c r="AY35" s="185"/>
      <c r="BA35" s="160" t="e">
        <f t="shared" si="1"/>
        <v>#VALUE!</v>
      </c>
      <c r="BB35" s="160" t="e">
        <f t="shared" si="2"/>
        <v>#VALUE!</v>
      </c>
    </row>
    <row r="36" spans="2:54" ht="18.75" customHeight="1" x14ac:dyDescent="0.25">
      <c r="B36" s="247" t="s">
        <v>519</v>
      </c>
      <c r="C36" s="247"/>
      <c r="D36" s="247"/>
      <c r="E36" s="183" t="str">
        <f>IF(ISBLANK('TF5'!$H$4),"Transformer 5",'TF5'!$H$4)</f>
        <v>Transformer 5</v>
      </c>
      <c r="F36" s="183"/>
      <c r="G36" s="183"/>
      <c r="H36" s="183"/>
      <c r="I36" s="183"/>
      <c r="J36" s="183"/>
      <c r="K36" s="183"/>
      <c r="L36" s="183"/>
      <c r="M36" s="183"/>
      <c r="N36" s="183"/>
      <c r="O36" s="183"/>
      <c r="P36" s="188" t="str">
        <f>IF(OR($P$23="--Select--",$P$23&lt;5,$P$12="--Select--",$P$12="Re-Conductor Only"),"",IF(OR('TF5'!$S$36=0,'TF5'!$S$36=""),"",'TF5'!$S$36))</f>
        <v/>
      </c>
      <c r="Q36" s="188"/>
      <c r="R36" s="188"/>
      <c r="S36" s="188"/>
      <c r="T36" s="188"/>
      <c r="U36" s="188"/>
      <c r="V36" s="182" t="str">
        <f>IF(OR($P$23="--Select--",$P$23&lt;5,$P$12="--Select--",$P$12="Re-Conductor Only"),"",IF(OR('TF5'!$S$37=0,'TF5'!$S$37=""),"",'TF5'!$S$37))</f>
        <v/>
      </c>
      <c r="W36" s="182"/>
      <c r="X36" s="182"/>
      <c r="Y36" s="182"/>
      <c r="Z36" s="182"/>
      <c r="AA36" s="182"/>
      <c r="AB36" s="185" t="str">
        <f>IF(OR($P$23="--Select--",$P$23&lt;5,$P$12="--Select--",$P$12="Re-Conductor Only"),"",IF(OR('TF5'!$S$40=0,'TF5'!$S$40=""),"",'TF5'!$S$40))</f>
        <v/>
      </c>
      <c r="AC36" s="185"/>
      <c r="AD36" s="185"/>
      <c r="AE36" s="185"/>
      <c r="AF36" s="185"/>
      <c r="AG36" s="185"/>
      <c r="AH36" s="177" t="str">
        <f>IF(OR($P$23="--Select--",$P$23&lt;5,$P$12="--Select--",$P$12="Re-Conductor Only"),"",IF(OR('TF5'!$S$54=0,'TF5'!$S$54=""),"",'TF5'!$S$54))</f>
        <v/>
      </c>
      <c r="AI36" s="178"/>
      <c r="AJ36" s="178"/>
      <c r="AK36" s="178"/>
      <c r="AL36" s="178"/>
      <c r="AM36" s="179"/>
      <c r="AN36" s="185" t="str">
        <f t="shared" si="3"/>
        <v/>
      </c>
      <c r="AO36" s="185"/>
      <c r="AP36" s="185"/>
      <c r="AQ36" s="185"/>
      <c r="AR36" s="185"/>
      <c r="AS36" s="185"/>
      <c r="AT36" s="185" t="str">
        <f t="shared" si="4"/>
        <v/>
      </c>
      <c r="AU36" s="185"/>
      <c r="AV36" s="185"/>
      <c r="AW36" s="185"/>
      <c r="AX36" s="185"/>
      <c r="AY36" s="185"/>
      <c r="BA36" s="160" t="e">
        <f t="shared" si="1"/>
        <v>#VALUE!</v>
      </c>
      <c r="BB36" s="160" t="e">
        <f t="shared" si="2"/>
        <v>#VALUE!</v>
      </c>
    </row>
    <row r="37" spans="2:54" ht="18.75" customHeight="1" x14ac:dyDescent="0.25">
      <c r="B37" s="247" t="s">
        <v>520</v>
      </c>
      <c r="C37" s="247"/>
      <c r="D37" s="247"/>
      <c r="E37" s="183" t="str">
        <f>IF(ISBLANK('TF6'!$H$4),"Transformer 6",'TF6'!$H$4)</f>
        <v>Transformer 6</v>
      </c>
      <c r="F37" s="183"/>
      <c r="G37" s="183"/>
      <c r="H37" s="183"/>
      <c r="I37" s="183"/>
      <c r="J37" s="183"/>
      <c r="K37" s="183"/>
      <c r="L37" s="183"/>
      <c r="M37" s="183"/>
      <c r="N37" s="183"/>
      <c r="O37" s="183"/>
      <c r="P37" s="188" t="str">
        <f>IF(OR($P$23="--Select--",$P$23&lt;6,$P$12="--Select--",$P$12="Re-Conductor Only"),"",IF(OR('TF6'!$S$36=0,'TF6'!$S$36=""),"",'TF6'!$S$36))</f>
        <v/>
      </c>
      <c r="Q37" s="188"/>
      <c r="R37" s="188"/>
      <c r="S37" s="188"/>
      <c r="T37" s="188"/>
      <c r="U37" s="188"/>
      <c r="V37" s="182" t="str">
        <f>IF(OR($P$23="--Select--",$P$23&lt;6,$P$12="--Select--",$P$12="Re-Conductor Only"),"",IF(OR('TF6'!$S$37=0,'TF6'!$S$37=""),"",'TF6'!$S$37))</f>
        <v/>
      </c>
      <c r="W37" s="182"/>
      <c r="X37" s="182"/>
      <c r="Y37" s="182"/>
      <c r="Z37" s="182"/>
      <c r="AA37" s="182"/>
      <c r="AB37" s="185" t="str">
        <f>IF(OR($P$23="--Select--",$P$23&lt;6,$P$12="--Select--",$P$12="Re-Conductor Only"),"",IF(OR('TF6'!$S$40=0,'TF6'!$S$40=""),"",'TF6'!$S$40))</f>
        <v/>
      </c>
      <c r="AC37" s="185"/>
      <c r="AD37" s="185"/>
      <c r="AE37" s="185"/>
      <c r="AF37" s="185"/>
      <c r="AG37" s="185"/>
      <c r="AH37" s="177" t="str">
        <f>IF(OR($P$23="--Select--",$P$23&lt;6,$P$12="--Select--",$P$12="Re-Conductor Only"),"",IF(OR('TF6'!$S$54=0,'TF6'!$S$54=""),"",'TF6'!$S$54))</f>
        <v/>
      </c>
      <c r="AI37" s="178"/>
      <c r="AJ37" s="178"/>
      <c r="AK37" s="178"/>
      <c r="AL37" s="178"/>
      <c r="AM37" s="179"/>
      <c r="AN37" s="185" t="str">
        <f t="shared" si="3"/>
        <v/>
      </c>
      <c r="AO37" s="185"/>
      <c r="AP37" s="185"/>
      <c r="AQ37" s="185"/>
      <c r="AR37" s="185"/>
      <c r="AS37" s="185"/>
      <c r="AT37" s="185" t="str">
        <f t="shared" si="4"/>
        <v/>
      </c>
      <c r="AU37" s="185"/>
      <c r="AV37" s="185"/>
      <c r="AW37" s="185"/>
      <c r="AX37" s="185"/>
      <c r="AY37" s="185"/>
      <c r="BA37" s="160" t="e">
        <f t="shared" si="1"/>
        <v>#VALUE!</v>
      </c>
      <c r="BB37" s="160" t="e">
        <f t="shared" si="2"/>
        <v>#VALUE!</v>
      </c>
    </row>
    <row r="38" spans="2:54" ht="18.75" customHeight="1" x14ac:dyDescent="0.25">
      <c r="E38" s="240" t="s">
        <v>394</v>
      </c>
      <c r="F38" s="240"/>
      <c r="G38" s="240"/>
      <c r="H38" s="240"/>
      <c r="I38" s="240"/>
      <c r="J38" s="240"/>
      <c r="K38" s="240"/>
      <c r="L38" s="240"/>
      <c r="M38" s="240"/>
      <c r="N38" s="240"/>
      <c r="O38" s="240"/>
      <c r="P38" s="227">
        <f>SUM(P26:U37)</f>
        <v>0</v>
      </c>
      <c r="Q38" s="227"/>
      <c r="R38" s="227"/>
      <c r="S38" s="227"/>
      <c r="T38" s="227"/>
      <c r="U38" s="227"/>
      <c r="V38" s="228">
        <f>SUM(V26:AA37)</f>
        <v>0</v>
      </c>
      <c r="W38" s="228"/>
      <c r="X38" s="228"/>
      <c r="Y38" s="228"/>
      <c r="Z38" s="228"/>
      <c r="AA38" s="228"/>
      <c r="AB38" s="189">
        <f>SUM(AB26:AG37)</f>
        <v>0</v>
      </c>
      <c r="AC38" s="189"/>
      <c r="AD38" s="189"/>
      <c r="AE38" s="189"/>
      <c r="AF38" s="189"/>
      <c r="AG38" s="189"/>
      <c r="AH38" s="190">
        <f>SUM(AH26:AM37)</f>
        <v>0</v>
      </c>
      <c r="AI38" s="191"/>
      <c r="AJ38" s="191"/>
      <c r="AK38" s="191"/>
      <c r="AL38" s="191"/>
      <c r="AM38" s="192"/>
      <c r="AN38" s="189">
        <f>SUM(AN26:AS37)</f>
        <v>0</v>
      </c>
      <c r="AO38" s="189"/>
      <c r="AP38" s="189"/>
      <c r="AQ38" s="189"/>
      <c r="AR38" s="189"/>
      <c r="AS38" s="189"/>
      <c r="AT38" s="189">
        <f>SUM(AT26:AY37)</f>
        <v>0</v>
      </c>
      <c r="AU38" s="189"/>
      <c r="AV38" s="189"/>
      <c r="AW38" s="189"/>
      <c r="AX38" s="189"/>
      <c r="AY38" s="189"/>
      <c r="BA38" s="160" t="e">
        <f t="shared" si="1"/>
        <v>#DIV/0!</v>
      </c>
      <c r="BB38" s="160" t="e">
        <f t="shared" si="2"/>
        <v>#DIV/0!</v>
      </c>
    </row>
    <row r="39" spans="2:54" ht="18.75" customHeight="1" thickBot="1" x14ac:dyDescent="0.3"/>
    <row r="40" spans="2:54" ht="18.75" customHeight="1" thickBot="1" x14ac:dyDescent="0.3">
      <c r="E40" s="229" t="s">
        <v>537</v>
      </c>
      <c r="F40" s="230"/>
      <c r="G40" s="230"/>
      <c r="H40" s="230"/>
      <c r="I40" s="230"/>
      <c r="J40" s="230"/>
      <c r="K40" s="231" t="str">
        <f>IFERROR(SUM(SUM(V26:AA31)*Lists!AB7,SUM(Lists!AH13:AH18))/Summary!AB38,"")</f>
        <v/>
      </c>
      <c r="L40" s="232"/>
      <c r="M40" s="232"/>
      <c r="N40" s="232"/>
      <c r="O40" s="233"/>
      <c r="P40" s="149"/>
    </row>
    <row r="42" spans="2:54" ht="18.75" customHeight="1" x14ac:dyDescent="0.25">
      <c r="B42" s="68" t="s">
        <v>484</v>
      </c>
    </row>
    <row r="43" spans="2:54" ht="18.75" customHeight="1" thickBot="1" x14ac:dyDescent="0.3"/>
    <row r="44" spans="2:54" s="119" customFormat="1" ht="18.75" customHeight="1" thickBot="1" x14ac:dyDescent="0.35">
      <c r="E44" s="237" t="s">
        <v>659</v>
      </c>
      <c r="F44" s="238"/>
      <c r="G44" s="238"/>
      <c r="H44" s="238"/>
      <c r="I44" s="238"/>
      <c r="J44" s="238"/>
      <c r="K44" s="238"/>
      <c r="L44" s="238"/>
      <c r="M44" s="238"/>
      <c r="N44" s="238"/>
      <c r="O44" s="239"/>
      <c r="P44" s="150"/>
    </row>
    <row r="45" spans="2:54" s="119" customFormat="1" ht="18.75" customHeight="1" thickBot="1" x14ac:dyDescent="0.3">
      <c r="E45" s="225" t="s">
        <v>658</v>
      </c>
      <c r="F45" s="226"/>
      <c r="G45" s="226"/>
      <c r="H45" s="226"/>
      <c r="I45" s="226"/>
      <c r="J45" s="226"/>
      <c r="K45" s="226"/>
      <c r="L45" s="234"/>
      <c r="M45" s="235"/>
      <c r="N45" s="235"/>
      <c r="O45" s="236"/>
      <c r="P45" s="151"/>
    </row>
    <row r="46" spans="2:54" ht="18.75" customHeight="1" x14ac:dyDescent="0.25">
      <c r="B46" s="5" t="s">
        <v>491</v>
      </c>
      <c r="F46" s="17"/>
    </row>
    <row r="47" spans="2:54" ht="18.75" customHeight="1" x14ac:dyDescent="0.25">
      <c r="B47" s="88" t="str">
        <f>IF(OR('RC1'!$W$12="Yes",'RC2'!$W$12="Yes",'RC3'!$W$12="Yes",'RC4'!$W$12="Yes",'RC5'!$W$12="Yes",'RC6'!$W$12="Yes"),"For shifting load (See error in:"&amp;IF('RC1'!$W$12="Yes"," RC1","")&amp;IF('RC2'!$W$12="Yes"," RC2","")&amp;IF('RC3'!$W$12="Yes"," RC3","")&amp;IF('RC4'!$W$12="Yes"," RC4","")&amp;IF('RC5'!$W$12="Yes"," RC5","")&amp;IF('RC6'!$W$12="Yes"," RC6","")&amp;"), please consult with BPA Technical Staff for assistance", "")</f>
        <v/>
      </c>
    </row>
    <row r="48" spans="2:54" ht="18.75" customHeight="1" x14ac:dyDescent="0.25">
      <c r="B48" s="88" t="str">
        <f>IF(OR('RC1'!$B$31&lt;&gt;"",'RC2'!$B$31&lt;&gt;"",'RC3'!$B$31&lt;&gt;"",'RC4'!$B$31&lt;&gt;"",'RC5'!$B$31&lt;&gt;"",'RC6'!$B$31&lt;&gt;"",),"Phase plus neutral conductors must add to 2 or more (See error in:"&amp;IF('RC1'!$B$31="",""," RC1")&amp;IF('RC2'!$B$31="",""," RC2")&amp;IF('RC3'!$B$31="",""," RC3")&amp;IF('RC4'!$B$31="",""," RC4")&amp;IF('RC5'!$B$31="",""," RC5")&amp;IF('RC6'!$B$31="",""," RC6")&amp;")","")</f>
        <v/>
      </c>
    </row>
    <row r="49" spans="2:2" ht="18.75" customHeight="1" x14ac:dyDescent="0.25">
      <c r="B49" s="88" t="str">
        <f>IF(OR('RC1'!$R$53&lt;&gt;"",'RC2'!$R$53&lt;&gt;"",'RC3'!$R$53&lt;&gt;"",'RC4'!$R$53&lt;&gt;"",'RC5'!$R$53&lt;&gt;"",'RC6'!$R$53&lt;&gt;"",),"Please check manual current entry on tab(s):"&amp;IF('RC1'!$R$53="",""," RC1")&amp;IF('RC2'!$R$53="",""," RC2")&amp;IF('RC3'!$R$53="",""," RC3")&amp;IF('RC4'!$R$53="",""," RC4")&amp;IF('RC5'!$R$53="",""," RC5")&amp;IF('RC6'!$R$53="",""," RC6")&amp;"","")</f>
        <v/>
      </c>
    </row>
  </sheetData>
  <sheetProtection algorithmName="SHA-512" hashValue="vq79j3NsqiA2lQPjH117g+Wz6XHznnNvXhclyG7vJ9cx71RAdRLxvICBIOaxNd2lCLrCgAyGV5Xuxf84e7sqHw==" saltValue="YJ2Nht7ncbG8r9MaqHX4Iw==" spinCount="100000" sheet="1" scenarios="1"/>
  <mergeCells count="184">
    <mergeCell ref="AB38:AG38"/>
    <mergeCell ref="P21:R21"/>
    <mergeCell ref="P23:R23"/>
    <mergeCell ref="V26:AA26"/>
    <mergeCell ref="P31:U31"/>
    <mergeCell ref="B26:D26"/>
    <mergeCell ref="B27:D27"/>
    <mergeCell ref="B28:D28"/>
    <mergeCell ref="B29:D29"/>
    <mergeCell ref="B30:D30"/>
    <mergeCell ref="B31:D31"/>
    <mergeCell ref="B32:D32"/>
    <mergeCell ref="B33:D33"/>
    <mergeCell ref="P29:U29"/>
    <mergeCell ref="B37:D37"/>
    <mergeCell ref="B35:D35"/>
    <mergeCell ref="B36:D36"/>
    <mergeCell ref="B34:D34"/>
    <mergeCell ref="E45:K45"/>
    <mergeCell ref="P25:U25"/>
    <mergeCell ref="P26:U26"/>
    <mergeCell ref="V28:AA28"/>
    <mergeCell ref="P38:U38"/>
    <mergeCell ref="V38:AA38"/>
    <mergeCell ref="V35:AA35"/>
    <mergeCell ref="E40:J40"/>
    <mergeCell ref="K40:O40"/>
    <mergeCell ref="L45:O45"/>
    <mergeCell ref="E44:O44"/>
    <mergeCell ref="E38:O38"/>
    <mergeCell ref="P36:U36"/>
    <mergeCell ref="V31:AA31"/>
    <mergeCell ref="P32:U32"/>
    <mergeCell ref="P35:U35"/>
    <mergeCell ref="V36:AA36"/>
    <mergeCell ref="E35:O35"/>
    <mergeCell ref="E36:O36"/>
    <mergeCell ref="V33:AA33"/>
    <mergeCell ref="P15:AB15"/>
    <mergeCell ref="P16:AB16"/>
    <mergeCell ref="P17:AB17"/>
    <mergeCell ref="V25:AA25"/>
    <mergeCell ref="V27:AA27"/>
    <mergeCell ref="B21:O21"/>
    <mergeCell ref="B23:O23"/>
    <mergeCell ref="P30:U30"/>
    <mergeCell ref="V30:AA30"/>
    <mergeCell ref="V29:AA29"/>
    <mergeCell ref="P27:U27"/>
    <mergeCell ref="P28:U28"/>
    <mergeCell ref="B18:L18"/>
    <mergeCell ref="M18:O18"/>
    <mergeCell ref="B19:L19"/>
    <mergeCell ref="M19:O19"/>
    <mergeCell ref="AD2:AJ2"/>
    <mergeCell ref="AB34:AG34"/>
    <mergeCell ref="AD10:AJ10"/>
    <mergeCell ref="AD9:AJ9"/>
    <mergeCell ref="AD11:AJ11"/>
    <mergeCell ref="AH28:AM28"/>
    <mergeCell ref="AH30:AM30"/>
    <mergeCell ref="AF23:AG23"/>
    <mergeCell ref="AH23:AI23"/>
    <mergeCell ref="AJ23:AK23"/>
    <mergeCell ref="AF21:AG21"/>
    <mergeCell ref="AH25:AM25"/>
    <mergeCell ref="AK9:AR9"/>
    <mergeCell ref="AK11:AR11"/>
    <mergeCell ref="AK10:AR10"/>
    <mergeCell ref="AD3:AJ3"/>
    <mergeCell ref="AD4:AJ4"/>
    <mergeCell ref="AD5:AJ5"/>
    <mergeCell ref="AD7:AH7"/>
    <mergeCell ref="AI7:AJ7"/>
    <mergeCell ref="AK7:AN7"/>
    <mergeCell ref="AO7:AQ7"/>
    <mergeCell ref="AB29:AG29"/>
    <mergeCell ref="AB30:AG30"/>
    <mergeCell ref="AN37:AS37"/>
    <mergeCell ref="AB33:AG33"/>
    <mergeCell ref="B15:O15"/>
    <mergeCell ref="B16:O16"/>
    <mergeCell ref="B17:O17"/>
    <mergeCell ref="AN27:AS27"/>
    <mergeCell ref="AN25:AS25"/>
    <mergeCell ref="AL21:AM21"/>
    <mergeCell ref="AN36:AS36"/>
    <mergeCell ref="AJ21:AK21"/>
    <mergeCell ref="AH21:AI21"/>
    <mergeCell ref="AN21:AO21"/>
    <mergeCell ref="AL23:AM23"/>
    <mergeCell ref="AN23:AO23"/>
    <mergeCell ref="AD21:AE21"/>
    <mergeCell ref="AD23:AE23"/>
    <mergeCell ref="P37:U37"/>
    <mergeCell ref="V37:AA37"/>
    <mergeCell ref="AN33:AS33"/>
    <mergeCell ref="B25:D25"/>
    <mergeCell ref="V32:AA32"/>
    <mergeCell ref="P33:U33"/>
    <mergeCell ref="E37:O37"/>
    <mergeCell ref="AB31:AG31"/>
    <mergeCell ref="AT33:AY33"/>
    <mergeCell ref="AT27:AY27"/>
    <mergeCell ref="AH27:AM27"/>
    <mergeCell ref="AN28:AS28"/>
    <mergeCell ref="AT28:AY28"/>
    <mergeCell ref="AT26:AY26"/>
    <mergeCell ref="AB27:AG27"/>
    <mergeCell ref="AB35:AG35"/>
    <mergeCell ref="AB32:AG32"/>
    <mergeCell ref="AB28:AG28"/>
    <mergeCell ref="AN38:AS38"/>
    <mergeCell ref="AT38:AY38"/>
    <mergeCell ref="AN29:AS29"/>
    <mergeCell ref="AT29:AY29"/>
    <mergeCell ref="AN32:AS32"/>
    <mergeCell ref="AT32:AY32"/>
    <mergeCell ref="AN26:AS26"/>
    <mergeCell ref="AH32:AM32"/>
    <mergeCell ref="AH33:AM33"/>
    <mergeCell ref="AH29:AM29"/>
    <mergeCell ref="AH26:AM26"/>
    <mergeCell ref="AH38:AM38"/>
    <mergeCell ref="AT37:AY37"/>
    <mergeCell ref="AH31:AM31"/>
    <mergeCell ref="AN31:AS31"/>
    <mergeCell ref="AT31:AY31"/>
    <mergeCell ref="AN34:AS34"/>
    <mergeCell ref="AT34:AY34"/>
    <mergeCell ref="AN35:AS35"/>
    <mergeCell ref="AN30:AS30"/>
    <mergeCell ref="AT30:AY30"/>
    <mergeCell ref="AT36:AY36"/>
    <mergeCell ref="AT35:AY35"/>
    <mergeCell ref="AH35:AM35"/>
    <mergeCell ref="AT25:AY25"/>
    <mergeCell ref="AH37:AM37"/>
    <mergeCell ref="AH36:AM36"/>
    <mergeCell ref="U23:AC24"/>
    <mergeCell ref="V34:AA34"/>
    <mergeCell ref="U21:AC22"/>
    <mergeCell ref="E34:O34"/>
    <mergeCell ref="E25:O25"/>
    <mergeCell ref="E26:O26"/>
    <mergeCell ref="E27:O27"/>
    <mergeCell ref="E28:O28"/>
    <mergeCell ref="E29:O29"/>
    <mergeCell ref="E30:O30"/>
    <mergeCell ref="E31:O31"/>
    <mergeCell ref="E32:O32"/>
    <mergeCell ref="AB36:AG36"/>
    <mergeCell ref="AB37:AG37"/>
    <mergeCell ref="E33:O33"/>
    <mergeCell ref="S21:T21"/>
    <mergeCell ref="S23:T23"/>
    <mergeCell ref="P34:U34"/>
    <mergeCell ref="AH34:AM34"/>
    <mergeCell ref="AB25:AG25"/>
    <mergeCell ref="AB26:AG26"/>
    <mergeCell ref="B12:O12"/>
    <mergeCell ref="B13:O13"/>
    <mergeCell ref="B14:O14"/>
    <mergeCell ref="P12:AB12"/>
    <mergeCell ref="B3:O3"/>
    <mergeCell ref="B4:O4"/>
    <mergeCell ref="B5:O5"/>
    <mergeCell ref="B6:O6"/>
    <mergeCell ref="B7:O7"/>
    <mergeCell ref="B8:O8"/>
    <mergeCell ref="B9:O9"/>
    <mergeCell ref="B10:O10"/>
    <mergeCell ref="B11:O11"/>
    <mergeCell ref="P3:AB3"/>
    <mergeCell ref="P4:AB4"/>
    <mergeCell ref="P5:AB5"/>
    <mergeCell ref="P6:AB6"/>
    <mergeCell ref="P7:AB7"/>
    <mergeCell ref="P8:AB8"/>
    <mergeCell ref="P9:AB9"/>
    <mergeCell ref="P10:AB10"/>
    <mergeCell ref="P11:AB11"/>
    <mergeCell ref="P13:AB13"/>
    <mergeCell ref="P14:AB14"/>
  </mergeCells>
  <conditionalFormatting sqref="P13:P17">
    <cfRule type="expression" dxfId="376" priority="51">
      <formula>IF(OR(P13="--Select--",ISBLANK(P13)),TRUE,FALSE)</formula>
    </cfRule>
  </conditionalFormatting>
  <conditionalFormatting sqref="P7">
    <cfRule type="expression" dxfId="375" priority="50">
      <formula>IF(OR(P7="--Select--",ISBLANK(P7)),TRUE,FALSE)</formula>
    </cfRule>
  </conditionalFormatting>
  <conditionalFormatting sqref="P21">
    <cfRule type="expression" dxfId="374" priority="138">
      <formula>OR(P21="--Select--",ISBLANK(P21))</formula>
    </cfRule>
  </conditionalFormatting>
  <conditionalFormatting sqref="P23">
    <cfRule type="expression" dxfId="373" priority="140">
      <formula>OR(P23="--Select--",ISBLANK(P23))</formula>
    </cfRule>
  </conditionalFormatting>
  <conditionalFormatting sqref="P11">
    <cfRule type="expression" dxfId="372" priority="42">
      <formula>IF(OR(P11="--Select--",ISBLANK(P11)),TRUE,FALSE)</formula>
    </cfRule>
  </conditionalFormatting>
  <conditionalFormatting sqref="P9">
    <cfRule type="expression" dxfId="371" priority="41">
      <formula>IF(OR(P9="--Select--",ISBLANK(P9)),TRUE,FALSE)</formula>
    </cfRule>
  </conditionalFormatting>
  <conditionalFormatting sqref="P10">
    <cfRule type="expression" dxfId="370" priority="40">
      <formula>IF(OR(P10="--Select--",ISBLANK(P10)),TRUE,FALSE)</formula>
    </cfRule>
  </conditionalFormatting>
  <conditionalFormatting sqref="P4">
    <cfRule type="expression" dxfId="369" priority="39">
      <formula>IF(OR($P$4="--Select--",ISBLANK($P$4)),TRUE,FALSE)</formula>
    </cfRule>
  </conditionalFormatting>
  <conditionalFormatting sqref="AK9">
    <cfRule type="expression" dxfId="368" priority="36">
      <formula>$AK$9="Approved"</formula>
    </cfRule>
    <cfRule type="expression" dxfId="367" priority="37">
      <formula>$AK$9="Modification Requested"</formula>
    </cfRule>
    <cfRule type="expression" dxfId="366" priority="38">
      <formula>$AK$9="Not Yet Reviewed"</formula>
    </cfRule>
  </conditionalFormatting>
  <conditionalFormatting sqref="AK11">
    <cfRule type="expression" dxfId="365" priority="19">
      <formula>$AK$11="Minimum B/C Met"</formula>
    </cfRule>
    <cfRule type="expression" dxfId="364" priority="20">
      <formula>$AK$11="Minimum B/C Not Met"</formula>
    </cfRule>
    <cfRule type="expression" dxfId="363" priority="21">
      <formula>$AK$11="More Info Needed"</formula>
    </cfRule>
  </conditionalFormatting>
  <conditionalFormatting sqref="P6">
    <cfRule type="expression" dxfId="362" priority="18">
      <formula>IF(OR(P6="--Select--",ISBLANK(P6)),TRUE,FALSE)</formula>
    </cfRule>
  </conditionalFormatting>
  <conditionalFormatting sqref="P8">
    <cfRule type="expression" dxfId="361" priority="17">
      <formula>IF(OR(P8="--Select--",ISBLANK(P8)),TRUE,FALSE)</formula>
    </cfRule>
  </conditionalFormatting>
  <conditionalFormatting sqref="AK10">
    <cfRule type="expression" dxfId="360" priority="7">
      <formula>$AK$10="Approved"</formula>
    </cfRule>
    <cfRule type="expression" dxfId="359" priority="8">
      <formula>$AK$10="Modification Requested"</formula>
    </cfRule>
    <cfRule type="expression" dxfId="358" priority="9">
      <formula>$AK$10="Not Yet Reviewed"</formula>
    </cfRule>
  </conditionalFormatting>
  <conditionalFormatting sqref="AF23">
    <cfRule type="expression" dxfId="357" priority="818">
      <formula>OR($P$23="--Select--",$P$23&lt;2,$P$12="--Select--",$P$12="Re-Conductor Only")</formula>
    </cfRule>
  </conditionalFormatting>
  <conditionalFormatting sqref="AH23">
    <cfRule type="expression" dxfId="356" priority="819">
      <formula>OR($P$23="--Select--",$P$23&lt;3,$P$12="--Select--",$P$12="Re-Conductor Only")</formula>
    </cfRule>
  </conditionalFormatting>
  <conditionalFormatting sqref="AJ23">
    <cfRule type="expression" dxfId="355" priority="820">
      <formula>OR($P$23="--Select--",$P$23&lt;4,$P$12="--Select--",$P$12="Re-Conductor Only")</formula>
    </cfRule>
  </conditionalFormatting>
  <conditionalFormatting sqref="AD23">
    <cfRule type="expression" dxfId="354" priority="821">
      <formula>OR($P$23="--Select--",$P$12="--Select--",$P$12="Re-Conductor Only")</formula>
    </cfRule>
  </conditionalFormatting>
  <conditionalFormatting sqref="AL23">
    <cfRule type="expression" dxfId="353" priority="822">
      <formula>OR($P$23="--Select--",$P$23&lt;5,$P$12="--Select--",$P$12="Re-Conductor Only")</formula>
    </cfRule>
  </conditionalFormatting>
  <conditionalFormatting sqref="AN23">
    <cfRule type="expression" dxfId="352" priority="823">
      <formula>OR($P$23="--Select--",$P$23&lt;6,$P$12="--Select--",$P$12="Re-Conductor Only")</formula>
    </cfRule>
  </conditionalFormatting>
  <conditionalFormatting sqref="P12:AB12">
    <cfRule type="expression" dxfId="351" priority="6">
      <formula>IF(OR(P12="--Select--",ISBLANK(P12)),TRUE,FALSE)</formula>
    </cfRule>
  </conditionalFormatting>
  <conditionalFormatting sqref="P3:AB3">
    <cfRule type="expression" dxfId="350" priority="3">
      <formula>IF(OR($P$3="--Select--",ISBLANK($P$3)),TRUE,FALSE)</formula>
    </cfRule>
  </conditionalFormatting>
  <conditionalFormatting sqref="P5">
    <cfRule type="expression" dxfId="349" priority="2">
      <formula>IF(OR($P$5="--Select--",ISBLANK($P$5)),TRUE,FALSE)</formula>
    </cfRule>
  </conditionalFormatting>
  <conditionalFormatting sqref="M18:O18">
    <cfRule type="expression" dxfId="348" priority="1">
      <formula>IF(OR(M18="--Select--",ISBLANK(M18)),TRUE,FALSE)</formula>
    </cfRule>
  </conditionalFormatting>
  <hyperlinks>
    <hyperlink ref="B26:D26" location="'RC1'!A1" display="RC1"/>
    <hyperlink ref="B27:D27" location="'RC2'!A1" display="RC2"/>
    <hyperlink ref="B28:D28" location="'RC3'!A1" display="RC3"/>
    <hyperlink ref="B29:D29" location="'RC4'!A1" display="RC4"/>
    <hyperlink ref="B30:D30" location="'RC5'!A1" display="RC5"/>
    <hyperlink ref="B31:D31" location="'RC6'!A1" display="RC6"/>
    <hyperlink ref="B32:D32" location="'TF1'!A1" display="TF1"/>
    <hyperlink ref="B33:D33" location="'TF2'!A1" display="TF2"/>
    <hyperlink ref="B34:D34" location="'TF3'!A1" display="TF3"/>
    <hyperlink ref="B35:D35" location="'TF4'!A1" display="TF4"/>
    <hyperlink ref="B36:D36" location="'TF5'!A1" display="TF5"/>
    <hyperlink ref="B37:D37" location="'TF6'!A1" display="TF6"/>
  </hyperlinks>
  <pageMargins left="0.25" right="0.25" top="0.25" bottom="0.25" header="0.3" footer="0.3"/>
  <pageSetup orientation="landscape" r:id="rId1"/>
  <ignoredErrors>
    <ignoredError sqref="BB26:BB37 BA26:BA37 BA38:BB38" evalError="1"/>
  </ignoredErrors>
  <extLst>
    <ext xmlns:x14="http://schemas.microsoft.com/office/spreadsheetml/2009/9/main" uri="{78C0D931-6437-407d-A8EE-F0AAD7539E65}">
      <x14:conditionalFormattings>
        <x14:conditionalFormatting xmlns:xm="http://schemas.microsoft.com/office/excel/2006/main">
          <x14:cfRule type="expression" priority="501" stopIfTrue="1" id="{89F99874-A197-4E18-AA9F-A85BCCE361F1}">
            <xm:f>OR(P12=Lists!$C$2,P12=Lists!$C$4)</xm:f>
            <x14:dxf>
              <font>
                <color theme="0"/>
              </font>
              <border>
                <left style="thin">
                  <color auto="1"/>
                </left>
                <right style="thin">
                  <color auto="1"/>
                </right>
                <top style="thin">
                  <color auto="1"/>
                </top>
                <bottom style="thin">
                  <color auto="1"/>
                </bottom>
                <vertical/>
                <horizontal/>
              </border>
            </x14:dxf>
          </x14:cfRule>
          <xm:sqref>P21:R21</xm:sqref>
        </x14:conditionalFormatting>
        <x14:conditionalFormatting xmlns:xm="http://schemas.microsoft.com/office/excel/2006/main">
          <x14:cfRule type="expression" priority="502" id="{7DB3F120-B7FA-4C18-8750-020004539CDC}">
            <xm:f>OR(P12=Lists!$C$2,P12=Lists!$C$4)</xm:f>
            <x14:dxf>
              <font>
                <color theme="0"/>
              </font>
              <border>
                <left style="thin">
                  <color auto="1"/>
                </left>
                <right style="thin">
                  <color auto="1"/>
                </right>
                <top style="thin">
                  <color auto="1"/>
                </top>
                <bottom style="thin">
                  <color auto="1"/>
                </bottom>
              </border>
            </x14:dxf>
          </x14:cfRule>
          <xm:sqref>B21</xm:sqref>
        </x14:conditionalFormatting>
        <x14:conditionalFormatting xmlns:xm="http://schemas.microsoft.com/office/excel/2006/main">
          <x14:cfRule type="expression" priority="503" id="{2A6824EC-4D6F-4176-BAB8-AB48A9FD4F2A}">
            <xm:f>OR($P$12=Lists!$C$2,$P$12=Lists!$C$3)</xm:f>
            <x14:dxf>
              <font>
                <color theme="0"/>
              </font>
              <fill>
                <patternFill patternType="none">
                  <bgColor auto="1"/>
                </patternFill>
              </fill>
              <border>
                <left style="thin">
                  <color auto="1"/>
                </left>
                <right style="thin">
                  <color auto="1"/>
                </right>
                <top style="thin">
                  <color auto="1"/>
                </top>
                <bottom style="thin">
                  <color auto="1"/>
                </bottom>
                <vertical/>
                <horizontal/>
              </border>
            </x14:dxf>
          </x14:cfRule>
          <xm:sqref>P23</xm:sqref>
        </x14:conditionalFormatting>
        <x14:conditionalFormatting xmlns:xm="http://schemas.microsoft.com/office/excel/2006/main">
          <x14:cfRule type="expression" priority="504" id="{4C1C8CFC-4CE4-4574-BE26-7CE44C4662FC}">
            <xm:f>OR($P$12=Lists!$C$2,$P$12=Lists!$C$3)</xm:f>
            <x14:dxf>
              <font>
                <color theme="0"/>
              </font>
              <border>
                <left style="thin">
                  <color auto="1"/>
                </left>
                <right style="thin">
                  <color auto="1"/>
                </right>
                <top style="thin">
                  <color auto="1"/>
                </top>
                <bottom style="thin">
                  <color auto="1"/>
                </bottom>
                <vertical/>
                <horizontal/>
              </border>
            </x14:dxf>
          </x14:cfRule>
          <xm:sqref>B23 P23:R23</xm:sqref>
        </x14:conditionalFormatting>
        <x14:conditionalFormatting xmlns:xm="http://schemas.microsoft.com/office/excel/2006/main">
          <x14:cfRule type="expression" priority="509" id="{60448C98-B083-4180-9446-E1EC98D01DFB}">
            <xm:f>OR($P$12=Lists!$C$2,$P$12=Lists!$C$3)</xm:f>
            <x14:dxf>
              <font>
                <color theme="0"/>
              </font>
            </x14:dxf>
          </x14:cfRule>
          <xm:sqref>U23 S23</xm:sqref>
        </x14:conditionalFormatting>
        <x14:conditionalFormatting xmlns:xm="http://schemas.microsoft.com/office/excel/2006/main">
          <x14:cfRule type="expression" priority="513" id="{5F209EC1-6610-4067-8438-ADD51AA69AB3}">
            <xm:f>OR($P$12=Lists!$C$2,$P$12=Lists!$C$4)</xm:f>
            <x14:dxf>
              <font>
                <color theme="0"/>
              </font>
            </x14:dxf>
          </x14:cfRule>
          <xm:sqref>U21 S21</xm:sqref>
        </x14:conditionalFormatting>
        <x14:conditionalFormatting xmlns:xm="http://schemas.microsoft.com/office/excel/2006/main">
          <x14:cfRule type="expression" priority="627" id="{7DB3F120-B7FA-4C18-8750-020004539CDC}">
            <xm:f>OR(AA12=Lists!$C$2,AA12=Lists!$C$4)</xm:f>
            <x14:dxf>
              <font>
                <color theme="0"/>
              </font>
              <border>
                <left style="thin">
                  <color auto="1"/>
                </left>
                <right style="thin">
                  <color auto="1"/>
                </right>
                <top style="thin">
                  <color auto="1"/>
                </top>
                <bottom style="thin">
                  <color auto="1"/>
                </bottom>
              </border>
            </x14:dxf>
          </x14:cfRule>
          <xm:sqref>P21</xm:sqref>
        </x14:conditionalFormatting>
        <x14:conditionalFormatting xmlns:xm="http://schemas.microsoft.com/office/excel/2006/main">
          <x14:cfRule type="expression" priority="703" id="{CEEB0CCE-020C-4E4D-ADEF-C224E1BC30C6}">
            <xm:f>OR($P$21="--Select--",P12=Lists!$C$2,P12=Lists!$C$4)</xm:f>
            <x14:dxf>
              <font>
                <color theme="0"/>
              </font>
            </x14:dxf>
          </x14:cfRule>
          <xm:sqref>AD21</xm:sqref>
        </x14:conditionalFormatting>
        <x14:conditionalFormatting xmlns:xm="http://schemas.microsoft.com/office/excel/2006/main">
          <x14:cfRule type="expression" priority="704" id="{76023DDB-183D-4802-9947-4C2D0F7120A7}">
            <xm:f>OR($P$21="--Select--",$P$21&lt;2,P12=Lists!$C$2,P12=Lists!$C$4)</xm:f>
            <x14:dxf>
              <font>
                <color theme="0"/>
              </font>
            </x14:dxf>
          </x14:cfRule>
          <xm:sqref>AF21</xm:sqref>
        </x14:conditionalFormatting>
        <x14:conditionalFormatting xmlns:xm="http://schemas.microsoft.com/office/excel/2006/main">
          <x14:cfRule type="expression" priority="705" id="{CB0BEF19-94F3-4569-88BA-32872DF08785}">
            <xm:f>OR($P$21="--Select--",$P$21&lt;3,P12=Lists!$C$2,P12=Lists!$C$4)</xm:f>
            <x14:dxf>
              <font>
                <color theme="0"/>
              </font>
            </x14:dxf>
          </x14:cfRule>
          <xm:sqref>AH21</xm:sqref>
        </x14:conditionalFormatting>
        <x14:conditionalFormatting xmlns:xm="http://schemas.microsoft.com/office/excel/2006/main">
          <x14:cfRule type="expression" priority="706" id="{1C0A0C6E-C66D-4454-87EE-5DC7CC7420C1}">
            <xm:f>OR($P$21="--Select--",$P$21&lt;4,P12=Lists!$C$2,P12=Lists!$C$4)</xm:f>
            <x14:dxf>
              <font>
                <color theme="0"/>
              </font>
            </x14:dxf>
          </x14:cfRule>
          <xm:sqref>AJ21</xm:sqref>
        </x14:conditionalFormatting>
        <x14:conditionalFormatting xmlns:xm="http://schemas.microsoft.com/office/excel/2006/main">
          <x14:cfRule type="expression" priority="707" id="{2EA26787-5129-4538-A9DD-5E8701AFD9D7}">
            <xm:f>OR($P$21="--Select--",$P$21&lt;5,P12=Lists!$C$2,P12=Lists!$C$4)</xm:f>
            <x14:dxf>
              <font>
                <color theme="0"/>
              </font>
            </x14:dxf>
          </x14:cfRule>
          <xm:sqref>AL21</xm:sqref>
        </x14:conditionalFormatting>
        <x14:conditionalFormatting xmlns:xm="http://schemas.microsoft.com/office/excel/2006/main">
          <x14:cfRule type="expression" priority="708" id="{5053BBF6-F42A-4CEE-BE5E-C27FEEBE10EB}">
            <xm:f>OR($P$21="--Select--",$P$21&lt;6,P12=Lists!$C$2,P12=Lists!$C$4)</xm:f>
            <x14:dxf>
              <font>
                <color theme="0"/>
              </font>
            </x14:dxf>
          </x14:cfRule>
          <xm:sqref>AN21</xm:sqref>
        </x14:conditionalFormatting>
      </x14:conditionalFormattings>
    </ext>
    <ext xmlns:x14="http://schemas.microsoft.com/office/spreadsheetml/2009/9/main" uri="{CCE6A557-97BC-4b89-ADB6-D9C93CAAB3DF}">
      <x14:dataValidations xmlns:xm="http://schemas.microsoft.com/office/excel/2006/main" count="4">
        <x14:dataValidation type="list" allowBlank="1" showInputMessage="1" showErrorMessage="1">
          <x14:formula1>
            <xm:f>Lists!$C$2:$C$5</xm:f>
          </x14:formula1>
          <xm:sqref>P12</xm:sqref>
        </x14:dataValidation>
        <x14:dataValidation type="list" allowBlank="1" showInputMessage="1" showErrorMessage="1">
          <x14:formula1>
            <xm:f>Lists!$P$2:$P$141</xm:f>
          </x14:formula1>
          <xm:sqref>P3</xm:sqref>
        </x14:dataValidation>
        <x14:dataValidation type="list" allowBlank="1" showInputMessage="1" showErrorMessage="1">
          <x14:formula1>
            <xm:f>Lists!$D$2:$D$8</xm:f>
          </x14:formula1>
          <xm:sqref>P23:R23 P21</xm:sqref>
        </x14:dataValidation>
        <x14:dataValidation type="list" allowBlank="1" showInputMessage="1" showErrorMessage="1">
          <x14:formula1>
            <xm:f>Lists!$N$2:$N$3</xm:f>
          </x14:formula1>
          <xm:sqref>P5:Y5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H36"/>
  <sheetViews>
    <sheetView workbookViewId="0">
      <selection activeCell="D19" sqref="D19"/>
    </sheetView>
  </sheetViews>
  <sheetFormatPr defaultRowHeight="15" x14ac:dyDescent="0.25"/>
  <cols>
    <col min="3" max="3" width="3.85546875" customWidth="1"/>
    <col min="4" max="4" width="11.5703125" customWidth="1"/>
    <col min="6" max="6" width="3.140625" customWidth="1"/>
  </cols>
  <sheetData>
    <row r="1" spans="1:8" x14ac:dyDescent="0.25">
      <c r="A1" t="s">
        <v>40</v>
      </c>
      <c r="D1" t="s">
        <v>41</v>
      </c>
      <c r="G1" t="s">
        <v>42</v>
      </c>
    </row>
    <row r="2" spans="1:8" ht="75" x14ac:dyDescent="0.25">
      <c r="A2" s="11" t="s">
        <v>108</v>
      </c>
      <c r="B2" s="11" t="s">
        <v>57</v>
      </c>
      <c r="D2" s="11" t="s">
        <v>58</v>
      </c>
      <c r="E2" s="11" t="s">
        <v>57</v>
      </c>
      <c r="G2" s="15" t="s">
        <v>64</v>
      </c>
      <c r="H2" s="11" t="s">
        <v>57</v>
      </c>
    </row>
    <row r="3" spans="1:8" x14ac:dyDescent="0.25">
      <c r="A3" s="16" t="s">
        <v>3</v>
      </c>
      <c r="B3" s="11"/>
      <c r="D3" s="16" t="s">
        <v>3</v>
      </c>
      <c r="E3" s="11"/>
      <c r="G3" s="16" t="s">
        <v>3</v>
      </c>
      <c r="H3" s="11"/>
    </row>
    <row r="4" spans="1:8" x14ac:dyDescent="0.25">
      <c r="A4" s="9" t="s">
        <v>72</v>
      </c>
      <c r="B4" s="9">
        <v>6.3399999999999998E-2</v>
      </c>
      <c r="D4" s="13" t="s">
        <v>101</v>
      </c>
      <c r="E4" s="12">
        <v>6.3600000000000004E-2</v>
      </c>
      <c r="G4" s="13" t="s">
        <v>101</v>
      </c>
      <c r="H4" s="9">
        <v>5.91E-2</v>
      </c>
    </row>
    <row r="5" spans="1:8" x14ac:dyDescent="0.25">
      <c r="A5" s="9" t="s">
        <v>73</v>
      </c>
      <c r="B5" s="9">
        <v>6.9500000000000006E-2</v>
      </c>
      <c r="D5" s="13" t="s">
        <v>100</v>
      </c>
      <c r="E5" s="12">
        <v>6.6500000000000004E-2</v>
      </c>
      <c r="G5" s="13" t="s">
        <v>100</v>
      </c>
      <c r="H5" s="9">
        <v>6.2199999999999998E-2</v>
      </c>
    </row>
    <row r="6" spans="1:8" x14ac:dyDescent="0.25">
      <c r="A6" s="9" t="s">
        <v>74</v>
      </c>
      <c r="B6" s="9">
        <v>7.7200000000000005E-2</v>
      </c>
      <c r="D6" s="13" t="s">
        <v>99</v>
      </c>
      <c r="E6" s="12">
        <v>6.9699999999999998E-2</v>
      </c>
      <c r="G6" s="13" t="s">
        <v>99</v>
      </c>
      <c r="H6" s="9">
        <v>6.5600000000000006E-2</v>
      </c>
    </row>
    <row r="7" spans="1:8" x14ac:dyDescent="0.25">
      <c r="A7" s="9" t="s">
        <v>75</v>
      </c>
      <c r="B7" s="9">
        <v>8.1799999999999998E-2</v>
      </c>
      <c r="D7" s="13" t="s">
        <v>98</v>
      </c>
      <c r="E7" s="12">
        <v>7.3300000000000004E-2</v>
      </c>
      <c r="G7" s="13" t="s">
        <v>102</v>
      </c>
      <c r="H7" s="9">
        <v>6.9500000000000006E-2</v>
      </c>
    </row>
    <row r="8" spans="1:8" x14ac:dyDescent="0.25">
      <c r="A8" s="9" t="s">
        <v>76</v>
      </c>
      <c r="B8" s="9">
        <v>8.7099999999999997E-2</v>
      </c>
      <c r="D8" s="13" t="s">
        <v>97</v>
      </c>
      <c r="E8" s="12">
        <v>7.7399999999999997E-2</v>
      </c>
      <c r="G8" s="13" t="s">
        <v>97</v>
      </c>
      <c r="H8" s="9">
        <v>7.3800000000000004E-2</v>
      </c>
    </row>
    <row r="9" spans="1:8" x14ac:dyDescent="0.25">
      <c r="A9" s="9" t="s">
        <v>77</v>
      </c>
      <c r="B9" s="9">
        <v>0.10059999999999999</v>
      </c>
      <c r="D9" s="13" t="s">
        <v>96</v>
      </c>
      <c r="E9" s="12">
        <v>8.2100000000000006E-2</v>
      </c>
      <c r="G9" s="13" t="s">
        <v>103</v>
      </c>
      <c r="H9" s="9">
        <v>7.8799999999999995E-2</v>
      </c>
    </row>
    <row r="10" spans="1:8" x14ac:dyDescent="0.25">
      <c r="A10" s="9" t="s">
        <v>78</v>
      </c>
      <c r="B10" s="9">
        <v>0.1196</v>
      </c>
      <c r="D10" s="13" t="s">
        <v>95</v>
      </c>
      <c r="E10" s="12">
        <v>8.7400000000000005E-2</v>
      </c>
      <c r="G10" s="13" t="s">
        <v>104</v>
      </c>
      <c r="H10" s="9">
        <v>8.4400000000000003E-2</v>
      </c>
    </row>
    <row r="11" spans="1:8" x14ac:dyDescent="0.25">
      <c r="A11" s="9" t="s">
        <v>79</v>
      </c>
      <c r="B11" s="9">
        <v>0.1323</v>
      </c>
      <c r="D11" s="13" t="s">
        <v>94</v>
      </c>
      <c r="E11" s="12">
        <v>9.3600000000000003E-2</v>
      </c>
      <c r="G11" s="13" t="s">
        <v>94</v>
      </c>
      <c r="H11" s="9">
        <v>9.0899999999999995E-2</v>
      </c>
    </row>
    <row r="12" spans="1:8" x14ac:dyDescent="0.25">
      <c r="A12" s="9" t="s">
        <v>80</v>
      </c>
      <c r="B12" s="9">
        <v>0.1484</v>
      </c>
      <c r="D12" s="13" t="s">
        <v>72</v>
      </c>
      <c r="E12" s="12">
        <v>9.6600000000000005E-2</v>
      </c>
      <c r="G12" s="13" t="s">
        <v>93</v>
      </c>
      <c r="H12" s="9">
        <v>9.8199999999999996E-2</v>
      </c>
    </row>
    <row r="13" spans="1:8" x14ac:dyDescent="0.25">
      <c r="A13" s="9" t="s">
        <v>81</v>
      </c>
      <c r="B13" s="9">
        <v>0.16900000000000001</v>
      </c>
      <c r="D13" s="13" t="s">
        <v>93</v>
      </c>
      <c r="E13" s="12">
        <v>0.1</v>
      </c>
      <c r="G13" s="13" t="s">
        <v>73</v>
      </c>
      <c r="H13" s="9">
        <v>0.104</v>
      </c>
    </row>
    <row r="14" spans="1:8" x14ac:dyDescent="0.25">
      <c r="A14" s="9" t="s">
        <v>82</v>
      </c>
      <c r="B14" s="9">
        <v>0.1966</v>
      </c>
      <c r="D14" s="13" t="s">
        <v>92</v>
      </c>
      <c r="E14" s="12">
        <v>0.11</v>
      </c>
      <c r="G14" s="13" t="s">
        <v>92</v>
      </c>
      <c r="H14" s="9">
        <v>0.108</v>
      </c>
    </row>
    <row r="15" spans="1:8" x14ac:dyDescent="0.25">
      <c r="A15" s="9" t="s">
        <v>83</v>
      </c>
      <c r="B15" s="9">
        <v>0.23499999999999999</v>
      </c>
      <c r="D15" s="13" t="s">
        <v>91</v>
      </c>
      <c r="E15" s="12">
        <v>0.12</v>
      </c>
      <c r="G15" s="13" t="s">
        <v>91</v>
      </c>
      <c r="H15" s="9">
        <v>0.11700000000000001</v>
      </c>
    </row>
    <row r="16" spans="1:8" x14ac:dyDescent="0.25">
      <c r="A16" s="13" t="s">
        <v>68</v>
      </c>
      <c r="B16" s="9">
        <v>0.27800000000000002</v>
      </c>
      <c r="D16" s="13" t="s">
        <v>75</v>
      </c>
      <c r="E16" s="12">
        <v>0.127</v>
      </c>
      <c r="G16" s="13" t="s">
        <v>90</v>
      </c>
      <c r="H16" s="9">
        <v>0.13100000000000001</v>
      </c>
    </row>
    <row r="17" spans="1:8" x14ac:dyDescent="0.25">
      <c r="A17" s="13" t="s">
        <v>69</v>
      </c>
      <c r="B17" s="9">
        <v>0.35</v>
      </c>
      <c r="D17" s="13" t="s">
        <v>90</v>
      </c>
      <c r="E17" s="12">
        <v>0.13300000000000001</v>
      </c>
      <c r="G17" s="13" t="s">
        <v>105</v>
      </c>
      <c r="H17" s="9">
        <v>0.14099999999999999</v>
      </c>
    </row>
    <row r="18" spans="1:8" x14ac:dyDescent="0.25">
      <c r="A18" s="13" t="s">
        <v>70</v>
      </c>
      <c r="B18" s="9">
        <v>0.44</v>
      </c>
      <c r="D18" s="13" t="s">
        <v>89</v>
      </c>
      <c r="E18" s="12">
        <v>0.14899999999999999</v>
      </c>
      <c r="G18" s="13" t="s">
        <v>89</v>
      </c>
      <c r="H18" s="9">
        <v>0.14699999999999999</v>
      </c>
    </row>
    <row r="19" spans="1:8" x14ac:dyDescent="0.25">
      <c r="A19" s="13" t="s">
        <v>71</v>
      </c>
      <c r="B19" s="9">
        <v>0.55500000000000005</v>
      </c>
      <c r="D19" s="13" t="s">
        <v>88</v>
      </c>
      <c r="E19" s="12">
        <v>0.17</v>
      </c>
      <c r="G19" s="13" t="s">
        <v>106</v>
      </c>
      <c r="H19" s="9">
        <v>0.154</v>
      </c>
    </row>
    <row r="20" spans="1:8" x14ac:dyDescent="0.25">
      <c r="A20" s="12">
        <v>1</v>
      </c>
      <c r="B20" s="9">
        <v>0.69899999999999995</v>
      </c>
      <c r="D20" s="13" t="s">
        <v>78</v>
      </c>
      <c r="E20" s="12">
        <v>0.189</v>
      </c>
      <c r="G20" s="13" t="s">
        <v>88</v>
      </c>
      <c r="H20" s="9">
        <v>0.16800000000000001</v>
      </c>
    </row>
    <row r="21" spans="1:8" x14ac:dyDescent="0.25">
      <c r="A21" s="12">
        <v>2</v>
      </c>
      <c r="B21" s="9">
        <v>0.88200000000000001</v>
      </c>
      <c r="D21" s="13" t="s">
        <v>87</v>
      </c>
      <c r="E21" s="12">
        <v>0.19800000000000001</v>
      </c>
      <c r="G21" s="13" t="s">
        <v>78</v>
      </c>
      <c r="H21" s="9">
        <v>0.187</v>
      </c>
    </row>
    <row r="22" spans="1:8" x14ac:dyDescent="0.25">
      <c r="A22" s="12">
        <v>3</v>
      </c>
      <c r="B22" s="9">
        <v>1.1120000000000001</v>
      </c>
      <c r="D22" s="13" t="s">
        <v>86</v>
      </c>
      <c r="E22" s="12">
        <v>0.23599999999999999</v>
      </c>
      <c r="G22" s="13" t="s">
        <v>87</v>
      </c>
      <c r="H22" s="9">
        <v>0.19600000000000001</v>
      </c>
    </row>
    <row r="23" spans="1:8" x14ac:dyDescent="0.25">
      <c r="A23" s="12">
        <v>3</v>
      </c>
      <c r="B23" s="9">
        <v>1.0900000000000001</v>
      </c>
      <c r="D23" s="13" t="s">
        <v>81</v>
      </c>
      <c r="E23" s="12">
        <v>0.26800000000000002</v>
      </c>
      <c r="G23" s="13" t="s">
        <v>86</v>
      </c>
      <c r="H23" s="9">
        <v>0.23499999999999999</v>
      </c>
    </row>
    <row r="24" spans="1:8" x14ac:dyDescent="0.25">
      <c r="A24" s="12">
        <v>4</v>
      </c>
      <c r="B24" s="9">
        <v>1.3740000000000001</v>
      </c>
      <c r="D24" s="13" t="s">
        <v>85</v>
      </c>
      <c r="E24" s="12">
        <v>0.27900000000000003</v>
      </c>
      <c r="G24" s="13" t="s">
        <v>85</v>
      </c>
      <c r="H24" s="9">
        <v>0.27800000000000002</v>
      </c>
    </row>
    <row r="25" spans="1:8" x14ac:dyDescent="0.25">
      <c r="A25" s="12">
        <v>5</v>
      </c>
      <c r="B25" s="9">
        <v>1.7330000000000001</v>
      </c>
      <c r="D25" s="13" t="s">
        <v>82</v>
      </c>
      <c r="E25" s="12">
        <v>0.312</v>
      </c>
      <c r="G25" s="13" t="s">
        <v>82</v>
      </c>
      <c r="H25" s="9">
        <v>0.311</v>
      </c>
    </row>
    <row r="26" spans="1:8" x14ac:dyDescent="0.25">
      <c r="A26" s="12">
        <v>6</v>
      </c>
      <c r="B26" s="9">
        <v>2.1800000000000002</v>
      </c>
      <c r="D26" s="13" t="s">
        <v>84</v>
      </c>
      <c r="E26" s="12">
        <v>0.35099999999999998</v>
      </c>
      <c r="G26" s="13" t="s">
        <v>84</v>
      </c>
      <c r="H26" s="9">
        <v>0.35199999999999998</v>
      </c>
    </row>
    <row r="27" spans="1:8" x14ac:dyDescent="0.25">
      <c r="A27" s="12">
        <v>7</v>
      </c>
      <c r="B27" s="9">
        <v>2.75</v>
      </c>
      <c r="D27" s="13" t="s">
        <v>83</v>
      </c>
      <c r="E27" s="12">
        <v>0.375</v>
      </c>
      <c r="G27" s="13" t="s">
        <v>68</v>
      </c>
      <c r="H27" s="9">
        <v>0.44500000000000001</v>
      </c>
    </row>
    <row r="28" spans="1:8" x14ac:dyDescent="0.25">
      <c r="A28" s="12">
        <v>8</v>
      </c>
      <c r="B28" s="9">
        <v>3.47</v>
      </c>
      <c r="D28" s="13" t="s">
        <v>68</v>
      </c>
      <c r="E28" s="12">
        <v>0.442</v>
      </c>
      <c r="G28" s="13" t="s">
        <v>69</v>
      </c>
      <c r="H28" s="9">
        <v>0.56000000000000005</v>
      </c>
    </row>
    <row r="29" spans="1:8" x14ac:dyDescent="0.25">
      <c r="D29" s="13" t="s">
        <v>69</v>
      </c>
      <c r="E29" s="12">
        <v>0.55800000000000005</v>
      </c>
      <c r="G29" s="13" t="s">
        <v>70</v>
      </c>
      <c r="H29" s="9">
        <v>0.70599999999999996</v>
      </c>
    </row>
    <row r="30" spans="1:8" x14ac:dyDescent="0.25">
      <c r="D30" s="13" t="s">
        <v>70</v>
      </c>
      <c r="E30" s="12">
        <v>0.70199999999999996</v>
      </c>
      <c r="G30" s="13" t="s">
        <v>71</v>
      </c>
      <c r="H30" s="9">
        <v>0.88800000000000001</v>
      </c>
    </row>
    <row r="31" spans="1:8" x14ac:dyDescent="0.25">
      <c r="D31" s="13" t="s">
        <v>71</v>
      </c>
      <c r="E31" s="12">
        <v>0.88500000000000001</v>
      </c>
      <c r="G31" s="13" t="s">
        <v>63</v>
      </c>
      <c r="H31" s="9">
        <v>1.1200000000000001</v>
      </c>
    </row>
    <row r="32" spans="1:8" x14ac:dyDescent="0.25">
      <c r="D32" s="13" t="s">
        <v>63</v>
      </c>
      <c r="E32" s="12">
        <v>1.1200000000000001</v>
      </c>
      <c r="G32" s="13" t="s">
        <v>62</v>
      </c>
      <c r="H32" s="9">
        <v>1.41</v>
      </c>
    </row>
    <row r="33" spans="4:8" x14ac:dyDescent="0.25">
      <c r="D33" s="13" t="s">
        <v>62</v>
      </c>
      <c r="E33" s="14">
        <v>1.41</v>
      </c>
      <c r="G33" s="13" t="s">
        <v>61</v>
      </c>
      <c r="H33" s="9">
        <v>1.78</v>
      </c>
    </row>
    <row r="34" spans="4:8" x14ac:dyDescent="0.25">
      <c r="D34" s="13" t="s">
        <v>61</v>
      </c>
      <c r="E34" s="12">
        <v>1.77</v>
      </c>
      <c r="G34" s="13" t="s">
        <v>60</v>
      </c>
      <c r="H34" s="9">
        <v>2.2400000000000002</v>
      </c>
    </row>
    <row r="35" spans="4:8" x14ac:dyDescent="0.25">
      <c r="D35" s="13" t="s">
        <v>60</v>
      </c>
      <c r="E35" s="12">
        <v>2.2400000000000002</v>
      </c>
      <c r="G35" s="13" t="s">
        <v>65</v>
      </c>
      <c r="H35" s="9">
        <v>2.82</v>
      </c>
    </row>
    <row r="36" spans="4:8" x14ac:dyDescent="0.25">
      <c r="D36" s="13" t="s">
        <v>59</v>
      </c>
      <c r="E36" s="12">
        <v>3.56</v>
      </c>
      <c r="G36" s="13" t="s">
        <v>59</v>
      </c>
      <c r="H36" s="9">
        <v>3.56</v>
      </c>
    </row>
  </sheetData>
  <sheetProtection password="BD7D" sheet="1" objects="1" scenarios="1"/>
  <sortState ref="L4:N36">
    <sortCondition descending="1" ref="N4:N36"/>
  </sortState>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BZ77"/>
  <sheetViews>
    <sheetView showGridLines="0" zoomScaleNormal="100" workbookViewId="0">
      <selection activeCell="H4" sqref="H4:Z4"/>
    </sheetView>
  </sheetViews>
  <sheetFormatPr defaultColWidth="3.5703125" defaultRowHeight="18.75" customHeight="1" x14ac:dyDescent="0.25"/>
  <cols>
    <col min="17" max="18" width="3.5703125" customWidth="1"/>
    <col min="23" max="23" width="3.5703125" customWidth="1"/>
    <col min="28" max="28" width="3.5703125" customWidth="1"/>
    <col min="30" max="30" width="3.5703125" customWidth="1"/>
    <col min="32" max="32" width="3.5703125" customWidth="1"/>
    <col min="34" max="34" width="3.5703125" customWidth="1"/>
    <col min="38" max="39" width="3.5703125" customWidth="1"/>
    <col min="55" max="55" width="4" bestFit="1" customWidth="1"/>
    <col min="57" max="57" width="4" bestFit="1" customWidth="1"/>
    <col min="60" max="60" width="3.5703125" customWidth="1"/>
  </cols>
  <sheetData>
    <row r="1" spans="1:78" ht="18.75" customHeight="1" x14ac:dyDescent="0.3">
      <c r="A1" s="95"/>
      <c r="B1" s="94" t="s">
        <v>502</v>
      </c>
      <c r="C1" s="95"/>
      <c r="D1" s="95"/>
      <c r="E1" s="95"/>
      <c r="F1" s="95"/>
      <c r="G1" s="95"/>
      <c r="H1" s="95"/>
      <c r="I1" s="95"/>
      <c r="J1" s="95"/>
      <c r="K1" s="95"/>
      <c r="L1" s="95"/>
      <c r="M1" s="95"/>
      <c r="N1" s="95"/>
      <c r="O1" s="95"/>
      <c r="P1" s="95"/>
      <c r="Q1" s="95"/>
      <c r="R1" s="95"/>
      <c r="S1" s="95"/>
      <c r="T1" s="95"/>
      <c r="U1" s="95"/>
      <c r="V1" s="95"/>
      <c r="W1" s="95"/>
      <c r="X1" s="95"/>
      <c r="Y1" s="95"/>
      <c r="Z1" s="95"/>
      <c r="AA1" s="95"/>
      <c r="AB1" s="95"/>
      <c r="AC1" s="95"/>
      <c r="AD1" s="95"/>
      <c r="AE1" s="95"/>
      <c r="AF1" s="95"/>
      <c r="AG1" s="95"/>
      <c r="AH1" s="95"/>
      <c r="AI1" s="95"/>
      <c r="AJ1" s="95"/>
      <c r="AK1" s="95"/>
      <c r="AL1" s="95"/>
      <c r="AM1" s="95"/>
      <c r="AN1" s="95"/>
      <c r="AO1" s="95"/>
      <c r="AP1" s="95"/>
      <c r="AQ1" s="95"/>
      <c r="AR1" s="95"/>
      <c r="AS1" s="95"/>
      <c r="AT1" s="95"/>
      <c r="AU1" s="95"/>
      <c r="AV1" s="95"/>
      <c r="AW1" s="95"/>
      <c r="AX1" s="95"/>
      <c r="AY1" s="95"/>
      <c r="AZ1" s="95"/>
      <c r="BA1" s="95"/>
      <c r="BB1" s="95"/>
      <c r="BC1" s="95"/>
      <c r="BD1" s="95"/>
      <c r="BE1" s="95"/>
      <c r="BF1" s="95"/>
      <c r="BG1" s="95"/>
      <c r="BH1" s="95"/>
      <c r="BI1" s="95"/>
      <c r="BJ1" s="95"/>
      <c r="BK1" s="95"/>
      <c r="BL1" s="95"/>
      <c r="BM1" s="95"/>
      <c r="BN1" s="95"/>
      <c r="BO1" s="95"/>
      <c r="BP1" s="95"/>
      <c r="BQ1" s="95"/>
      <c r="BR1" s="95"/>
      <c r="BS1" s="95"/>
      <c r="BT1" s="95"/>
      <c r="BU1" s="95"/>
      <c r="BV1" s="95"/>
      <c r="BW1" s="95"/>
      <c r="BX1" s="95"/>
      <c r="BY1" s="95"/>
      <c r="BZ1" s="95"/>
    </row>
    <row r="2" spans="1:78" ht="18.75" customHeight="1" x14ac:dyDescent="0.25">
      <c r="AB2" s="302" t="s">
        <v>391</v>
      </c>
      <c r="AC2" s="302"/>
      <c r="AD2" s="302"/>
      <c r="AE2" s="302"/>
      <c r="AF2" s="302"/>
      <c r="AG2" s="302"/>
      <c r="AH2" s="302"/>
    </row>
    <row r="3" spans="1:78" ht="18.75" customHeight="1" x14ac:dyDescent="0.25">
      <c r="B3" s="5"/>
      <c r="AB3" s="303" t="s">
        <v>392</v>
      </c>
      <c r="AC3" s="304"/>
      <c r="AD3" s="304"/>
      <c r="AE3" s="304"/>
      <c r="AF3" s="304"/>
      <c r="AG3" s="304"/>
      <c r="AH3" s="305"/>
      <c r="AL3" s="17"/>
    </row>
    <row r="4" spans="1:78" ht="18.75" customHeight="1" x14ac:dyDescent="0.25">
      <c r="B4" s="318" t="s">
        <v>455</v>
      </c>
      <c r="C4" s="319"/>
      <c r="D4" s="319"/>
      <c r="E4" s="319"/>
      <c r="F4" s="319"/>
      <c r="G4" s="320"/>
      <c r="H4" s="172"/>
      <c r="I4" s="172"/>
      <c r="J4" s="172"/>
      <c r="K4" s="172"/>
      <c r="L4" s="172"/>
      <c r="M4" s="172"/>
      <c r="N4" s="172"/>
      <c r="O4" s="172"/>
      <c r="P4" s="172"/>
      <c r="Q4" s="172"/>
      <c r="R4" s="172"/>
      <c r="S4" s="172"/>
      <c r="T4" s="172"/>
      <c r="U4" s="172"/>
      <c r="V4" s="172"/>
      <c r="W4" s="172"/>
      <c r="X4" s="172"/>
      <c r="Y4" s="172"/>
      <c r="Z4" s="172"/>
      <c r="AB4" s="306" t="s">
        <v>393</v>
      </c>
      <c r="AC4" s="307"/>
      <c r="AD4" s="307"/>
      <c r="AE4" s="307"/>
      <c r="AF4" s="307"/>
      <c r="AG4" s="307"/>
      <c r="AH4" s="308"/>
      <c r="AL4" s="17"/>
      <c r="AM4" s="17"/>
      <c r="AN4" s="17"/>
      <c r="AO4" s="17"/>
      <c r="AP4" s="17"/>
      <c r="AQ4" s="17"/>
      <c r="AR4" s="17"/>
      <c r="AS4" s="17"/>
      <c r="AT4" s="17"/>
      <c r="AU4" s="17"/>
      <c r="AV4" s="17"/>
      <c r="AW4" s="17"/>
      <c r="AX4" s="17"/>
      <c r="AY4" s="17"/>
      <c r="AZ4" s="17"/>
      <c r="BA4" s="17"/>
      <c r="BB4" s="17"/>
      <c r="BC4" s="17"/>
      <c r="BD4" s="17"/>
      <c r="BE4" s="17"/>
    </row>
    <row r="5" spans="1:78" ht="18.75" customHeight="1" x14ac:dyDescent="0.25">
      <c r="B5" s="318" t="s">
        <v>67</v>
      </c>
      <c r="C5" s="319"/>
      <c r="D5" s="319"/>
      <c r="E5" s="319"/>
      <c r="F5" s="319"/>
      <c r="G5" s="320"/>
      <c r="H5" s="175"/>
      <c r="I5" s="175"/>
      <c r="J5" s="175"/>
      <c r="K5" s="175"/>
      <c r="L5" s="175"/>
      <c r="M5" s="175"/>
      <c r="N5" s="175"/>
      <c r="O5" s="175"/>
      <c r="P5" s="175"/>
      <c r="Q5" s="175"/>
      <c r="R5" s="175"/>
      <c r="S5" s="175"/>
      <c r="T5" s="175"/>
      <c r="U5" s="175"/>
      <c r="V5" s="175"/>
      <c r="W5" s="175"/>
      <c r="X5" s="175"/>
      <c r="Y5" s="175"/>
      <c r="Z5" s="175"/>
    </row>
    <row r="6" spans="1:78" ht="18.75" customHeight="1" x14ac:dyDescent="0.25">
      <c r="B6" s="318" t="s">
        <v>468</v>
      </c>
      <c r="C6" s="319"/>
      <c r="D6" s="319"/>
      <c r="E6" s="319"/>
      <c r="F6" s="319"/>
      <c r="G6" s="320"/>
      <c r="H6" s="175"/>
      <c r="I6" s="175"/>
      <c r="J6" s="175"/>
      <c r="K6" s="175"/>
      <c r="L6" s="175"/>
      <c r="M6" s="175"/>
      <c r="N6" s="175"/>
      <c r="O6" s="175"/>
      <c r="P6" s="175"/>
      <c r="Q6" s="175"/>
      <c r="R6" s="175"/>
      <c r="S6" s="175"/>
      <c r="T6" s="175"/>
      <c r="U6" s="175"/>
      <c r="V6" s="175"/>
      <c r="W6" s="175"/>
      <c r="X6" s="175"/>
      <c r="Y6" s="175"/>
      <c r="Z6" s="175"/>
    </row>
    <row r="7" spans="1:78" ht="18.75" customHeight="1" x14ac:dyDescent="0.25">
      <c r="B7" s="318" t="s">
        <v>12</v>
      </c>
      <c r="C7" s="319"/>
      <c r="D7" s="319"/>
      <c r="E7" s="319"/>
      <c r="F7" s="319"/>
      <c r="G7" s="320"/>
      <c r="H7" s="175"/>
      <c r="I7" s="175"/>
      <c r="J7" s="175"/>
      <c r="K7" s="175"/>
      <c r="L7" s="175"/>
      <c r="M7" s="175"/>
      <c r="N7" s="175"/>
      <c r="O7" s="175"/>
      <c r="P7" s="175"/>
      <c r="Q7" s="175"/>
      <c r="R7" s="175"/>
      <c r="S7" s="175"/>
      <c r="T7" s="175"/>
      <c r="U7" s="175"/>
      <c r="V7" s="175"/>
      <c r="W7" s="175"/>
      <c r="X7" s="175"/>
      <c r="Y7" s="175"/>
      <c r="Z7" s="175"/>
    </row>
    <row r="8" spans="1:78" ht="18.75" customHeight="1" x14ac:dyDescent="0.25">
      <c r="B8" s="318" t="s">
        <v>13</v>
      </c>
      <c r="C8" s="319"/>
      <c r="D8" s="319"/>
      <c r="E8" s="319"/>
      <c r="F8" s="319"/>
      <c r="G8" s="320"/>
      <c r="H8" s="175"/>
      <c r="I8" s="175"/>
      <c r="J8" s="175"/>
      <c r="K8" s="175"/>
      <c r="L8" s="175"/>
      <c r="M8" s="175"/>
      <c r="N8" s="175"/>
      <c r="O8" s="175"/>
      <c r="P8" s="175"/>
      <c r="Q8" s="175"/>
      <c r="R8" s="175"/>
      <c r="S8" s="175"/>
      <c r="T8" s="175"/>
      <c r="U8" s="175"/>
      <c r="V8" s="175"/>
      <c r="W8" s="175"/>
      <c r="X8" s="175"/>
      <c r="Y8" s="175"/>
      <c r="Z8" s="175"/>
    </row>
    <row r="9" spans="1:78" ht="18.75" customHeight="1" x14ac:dyDescent="0.25">
      <c r="B9" s="153"/>
      <c r="C9" s="152" t="s">
        <v>14</v>
      </c>
      <c r="D9" s="152"/>
      <c r="E9" s="152"/>
      <c r="F9" s="59"/>
      <c r="G9" s="154" t="s">
        <v>15</v>
      </c>
      <c r="H9" s="154"/>
      <c r="I9" s="154"/>
      <c r="J9" s="59"/>
      <c r="K9" s="154" t="s">
        <v>409</v>
      </c>
      <c r="L9" s="154"/>
      <c r="M9" s="154"/>
      <c r="N9" s="154"/>
      <c r="O9" s="154"/>
      <c r="P9" s="154"/>
      <c r="Q9" s="154"/>
      <c r="R9" s="154"/>
      <c r="S9" s="59"/>
      <c r="T9" s="59"/>
      <c r="U9" s="59"/>
      <c r="V9" s="59"/>
      <c r="W9" s="59"/>
      <c r="X9" s="59"/>
      <c r="Y9" s="59"/>
      <c r="Z9" s="155"/>
    </row>
    <row r="10" spans="1:78" ht="18.75" customHeight="1" x14ac:dyDescent="0.25">
      <c r="B10" s="220" t="s">
        <v>480</v>
      </c>
      <c r="C10" s="221"/>
      <c r="D10" s="221"/>
      <c r="E10" s="221"/>
      <c r="F10" s="221"/>
      <c r="G10" s="221"/>
      <c r="H10" s="221"/>
      <c r="I10" s="327"/>
      <c r="J10" s="328" t="str">
        <f ca="1">IF(ISBLANK($H$5),"",OFFSET(Lists!$AI$1,MATCH('RC1'!$G$9,Lists!$AA$2:$AA$4,FALSE),MATCH('RC1'!$H$5,Lists!$AJ$1:$BA$1,1)))</f>
        <v/>
      </c>
      <c r="K10" s="328"/>
      <c r="L10" s="328"/>
      <c r="M10" s="328"/>
      <c r="N10" s="328"/>
      <c r="O10" s="328"/>
      <c r="P10" s="328"/>
      <c r="Q10" s="328"/>
      <c r="R10" s="328"/>
      <c r="S10" s="328"/>
      <c r="T10" s="328"/>
      <c r="U10" s="328"/>
      <c r="V10" s="328"/>
      <c r="W10" s="328"/>
      <c r="X10" s="328"/>
      <c r="Y10" s="328"/>
      <c r="Z10" s="328"/>
      <c r="AA10" s="17"/>
      <c r="AB10" s="17"/>
      <c r="AC10" s="17"/>
      <c r="AD10" s="17"/>
      <c r="AE10" s="17"/>
      <c r="AF10" s="17"/>
      <c r="AG10" s="17"/>
      <c r="AH10" s="17"/>
      <c r="AI10" s="17"/>
      <c r="AJ10" s="17"/>
      <c r="AK10" s="17"/>
      <c r="AL10" s="17"/>
      <c r="AM10" s="17"/>
      <c r="AN10" s="17"/>
      <c r="AO10" s="17"/>
      <c r="AP10" s="17"/>
      <c r="AQ10" s="17"/>
      <c r="AR10" s="17"/>
      <c r="AS10" s="17"/>
      <c r="AT10" s="17"/>
      <c r="AU10" s="17"/>
    </row>
    <row r="11" spans="1:78" ht="18.75" customHeight="1" x14ac:dyDescent="0.25">
      <c r="G11" s="46"/>
      <c r="H11" s="46"/>
      <c r="I11" s="46"/>
      <c r="J11" s="46"/>
      <c r="K11" s="46"/>
      <c r="L11" s="46"/>
      <c r="M11" s="46"/>
      <c r="N11" s="46"/>
      <c r="O11" s="46"/>
      <c r="P11" s="46"/>
      <c r="Q11" s="46"/>
      <c r="R11" s="46"/>
    </row>
    <row r="12" spans="1:78" ht="18.75" customHeight="1" x14ac:dyDescent="0.25">
      <c r="B12" s="321" t="s">
        <v>457</v>
      </c>
      <c r="C12" s="322"/>
      <c r="D12" s="322"/>
      <c r="E12" s="322"/>
      <c r="F12" s="322"/>
      <c r="G12" s="322"/>
      <c r="H12" s="322"/>
      <c r="I12" s="322"/>
      <c r="J12" s="322"/>
      <c r="K12" s="322"/>
      <c r="L12" s="322"/>
      <c r="M12" s="322"/>
      <c r="N12" s="322"/>
      <c r="O12" s="322"/>
      <c r="P12" s="322"/>
      <c r="Q12" s="322"/>
      <c r="R12" s="322"/>
      <c r="S12" s="322"/>
      <c r="T12" s="322"/>
      <c r="U12" s="323"/>
      <c r="W12" s="329" t="s">
        <v>7</v>
      </c>
      <c r="X12" s="329"/>
      <c r="Y12" s="329"/>
      <c r="Z12" s="329"/>
      <c r="AC12" s="17"/>
    </row>
    <row r="13" spans="1:78" ht="18.75" customHeight="1" thickBot="1" x14ac:dyDescent="0.3">
      <c r="A13" s="10"/>
      <c r="B13" s="77" t="str">
        <f>IF($W$12="Yes","**Before continuing, please consult with BPA Technical Staff for assistance**","")</f>
        <v/>
      </c>
      <c r="C13" s="77"/>
      <c r="D13" s="77"/>
      <c r="E13" s="77"/>
      <c r="F13" s="77"/>
      <c r="G13" s="77"/>
      <c r="H13" s="77"/>
      <c r="I13" s="77"/>
      <c r="J13" s="77"/>
      <c r="K13" s="77"/>
      <c r="L13" s="77"/>
      <c r="M13" s="77"/>
      <c r="N13" s="77"/>
      <c r="O13" s="17"/>
      <c r="P13" s="77"/>
      <c r="Q13" s="77"/>
      <c r="AC13" s="17"/>
      <c r="BL13" s="17"/>
      <c r="BM13" s="17"/>
      <c r="BN13" s="17"/>
      <c r="BO13" s="17"/>
      <c r="BP13" s="17"/>
      <c r="BQ13" s="17"/>
      <c r="BR13" s="17"/>
      <c r="BS13" s="17"/>
      <c r="BT13" s="17"/>
      <c r="BU13" s="17"/>
    </row>
    <row r="14" spans="1:78" ht="18.75" customHeight="1" thickBot="1" x14ac:dyDescent="0.3">
      <c r="F14" s="2"/>
      <c r="G14" s="2"/>
      <c r="H14" s="2"/>
      <c r="I14" s="2"/>
      <c r="R14" s="309" t="s">
        <v>22</v>
      </c>
      <c r="S14" s="310"/>
      <c r="T14" s="310"/>
      <c r="U14" s="311"/>
      <c r="W14" s="309" t="s">
        <v>30</v>
      </c>
      <c r="X14" s="310"/>
      <c r="Y14" s="310"/>
      <c r="Z14" s="311"/>
      <c r="BC14" s="17"/>
      <c r="BE14" s="17"/>
      <c r="BF14" s="17"/>
      <c r="BG14" s="17"/>
      <c r="BH14" s="17"/>
      <c r="BI14" s="17"/>
      <c r="BJ14" s="17"/>
      <c r="BK14" s="17"/>
      <c r="BL14" s="17"/>
      <c r="BM14" s="17"/>
      <c r="BN14" s="17"/>
      <c r="BO14" s="17"/>
      <c r="BP14" s="17"/>
      <c r="BQ14" s="17"/>
      <c r="BR14" s="17"/>
      <c r="BS14" s="17"/>
      <c r="BT14" s="17"/>
      <c r="BU14" s="17"/>
    </row>
    <row r="15" spans="1:78" ht="18.75" customHeight="1" thickBot="1" x14ac:dyDescent="0.3">
      <c r="B15" s="324" t="s">
        <v>524</v>
      </c>
      <c r="C15" s="325"/>
      <c r="D15" s="325"/>
      <c r="E15" s="325"/>
      <c r="F15" s="325"/>
      <c r="G15" s="325"/>
      <c r="H15" s="325"/>
      <c r="I15" s="325"/>
      <c r="J15" s="325"/>
      <c r="K15" s="325"/>
      <c r="L15" s="325"/>
      <c r="M15" s="325"/>
      <c r="N15" s="325"/>
      <c r="O15" s="325"/>
      <c r="P15" s="326"/>
      <c r="R15" s="312"/>
      <c r="S15" s="313"/>
      <c r="T15" s="313"/>
      <c r="U15" s="314"/>
      <c r="W15" s="312"/>
      <c r="X15" s="313"/>
      <c r="Y15" s="313"/>
      <c r="Z15" s="314"/>
      <c r="AM15" s="17"/>
      <c r="AN15" s="17"/>
      <c r="AO15" s="17"/>
      <c r="AP15" s="17"/>
      <c r="AQ15" s="17"/>
      <c r="AR15" s="17"/>
      <c r="AS15" s="17"/>
      <c r="AT15" s="17"/>
      <c r="AU15" s="17"/>
      <c r="AV15" s="17"/>
      <c r="AW15" s="17"/>
      <c r="AX15" s="17"/>
      <c r="AY15" s="17"/>
      <c r="AZ15" s="17"/>
      <c r="BA15" s="17"/>
      <c r="BB15" s="17"/>
      <c r="BC15" s="17"/>
      <c r="BD15" s="17"/>
      <c r="BE15" s="17"/>
      <c r="BF15" s="17"/>
    </row>
    <row r="16" spans="1:78" ht="18.75" customHeight="1" x14ac:dyDescent="0.25">
      <c r="B16" s="256" t="s">
        <v>428</v>
      </c>
      <c r="C16" s="256"/>
      <c r="D16" s="256"/>
      <c r="E16" s="256"/>
      <c r="F16" s="256"/>
      <c r="G16" s="256"/>
      <c r="H16" s="256"/>
      <c r="I16" s="256"/>
      <c r="J16" s="256"/>
      <c r="K16" s="256"/>
      <c r="L16" s="256"/>
      <c r="M16" s="256"/>
      <c r="N16" s="256"/>
      <c r="O16" s="256"/>
      <c r="P16" s="256"/>
      <c r="Q16" s="17"/>
      <c r="R16" s="330"/>
      <c r="S16" s="331"/>
      <c r="T16" s="331"/>
      <c r="U16" s="332"/>
      <c r="W16" s="361"/>
      <c r="X16" s="361"/>
      <c r="Y16" s="361"/>
      <c r="Z16" s="361"/>
      <c r="AD16" s="17"/>
      <c r="AW16" s="17"/>
      <c r="AX16" s="17"/>
      <c r="BC16" s="17"/>
      <c r="BD16" s="17"/>
      <c r="BE16" s="17"/>
      <c r="BF16" s="17"/>
    </row>
    <row r="17" spans="1:37" ht="18.75" customHeight="1" x14ac:dyDescent="0.25">
      <c r="B17" s="316" t="s">
        <v>511</v>
      </c>
      <c r="C17" s="316"/>
      <c r="D17" s="316"/>
      <c r="E17" s="316"/>
      <c r="F17" s="316"/>
      <c r="G17" s="316"/>
      <c r="H17" s="316"/>
      <c r="I17" s="316"/>
      <c r="J17" s="316"/>
      <c r="K17" s="316"/>
      <c r="L17" s="316"/>
      <c r="M17" s="316"/>
      <c r="N17" s="316"/>
      <c r="O17" s="316"/>
      <c r="P17" s="316"/>
      <c r="Q17" s="2"/>
      <c r="R17" s="369"/>
      <c r="S17" s="369"/>
      <c r="T17" s="369"/>
      <c r="U17" s="369"/>
      <c r="V17" s="2"/>
      <c r="W17" s="362">
        <f t="shared" ref="W17:W21" si="0">R17</f>
        <v>0</v>
      </c>
      <c r="X17" s="362"/>
      <c r="Y17" s="362"/>
      <c r="Z17" s="362"/>
      <c r="AC17" s="139"/>
      <c r="AD17" s="139"/>
      <c r="AE17" s="139"/>
      <c r="AF17" s="139"/>
      <c r="AG17" s="139"/>
      <c r="AH17" s="139"/>
      <c r="AI17" s="139"/>
      <c r="AJ17" s="139"/>
      <c r="AK17" s="139"/>
    </row>
    <row r="18" spans="1:37" ht="18.75" customHeight="1" x14ac:dyDescent="0.25">
      <c r="B18" s="256" t="s">
        <v>429</v>
      </c>
      <c r="C18" s="256"/>
      <c r="D18" s="256"/>
      <c r="E18" s="256"/>
      <c r="F18" s="256"/>
      <c r="G18" s="256"/>
      <c r="H18" s="256"/>
      <c r="I18" s="256"/>
      <c r="J18" s="256"/>
      <c r="K18" s="256"/>
      <c r="L18" s="256"/>
      <c r="M18" s="256"/>
      <c r="N18" s="256"/>
      <c r="O18" s="256"/>
      <c r="P18" s="256"/>
      <c r="Q18" s="2"/>
      <c r="R18" s="370"/>
      <c r="S18" s="370"/>
      <c r="T18" s="370"/>
      <c r="U18" s="370"/>
      <c r="V18" s="2"/>
      <c r="W18" s="317">
        <f t="shared" si="0"/>
        <v>0</v>
      </c>
      <c r="X18" s="317"/>
      <c r="Y18" s="317"/>
      <c r="Z18" s="317"/>
      <c r="AB18" s="139"/>
      <c r="AC18" s="139"/>
      <c r="AD18" s="139"/>
      <c r="AE18" s="139"/>
      <c r="AF18" s="139"/>
      <c r="AG18" s="139"/>
      <c r="AH18" s="139"/>
      <c r="AI18" s="139"/>
      <c r="AJ18" s="139"/>
      <c r="AK18" s="139"/>
    </row>
    <row r="19" spans="1:37" ht="18.75" customHeight="1" x14ac:dyDescent="0.25">
      <c r="B19" s="256" t="s">
        <v>430</v>
      </c>
      <c r="C19" s="256"/>
      <c r="D19" s="256"/>
      <c r="E19" s="256"/>
      <c r="F19" s="256"/>
      <c r="G19" s="256"/>
      <c r="H19" s="256"/>
      <c r="I19" s="256"/>
      <c r="J19" s="256"/>
      <c r="K19" s="256"/>
      <c r="L19" s="256"/>
      <c r="M19" s="256"/>
      <c r="N19" s="256"/>
      <c r="O19" s="256"/>
      <c r="P19" s="256"/>
      <c r="Q19" s="2"/>
      <c r="R19" s="315" t="str">
        <f>IFERROR($R$17/$R$18,"")</f>
        <v/>
      </c>
      <c r="S19" s="315"/>
      <c r="T19" s="315"/>
      <c r="U19" s="315"/>
      <c r="V19" s="7"/>
      <c r="W19" s="363" t="str">
        <f t="shared" si="0"/>
        <v/>
      </c>
      <c r="X19" s="363"/>
      <c r="Y19" s="363"/>
      <c r="Z19" s="363"/>
      <c r="AB19" s="343" t="s">
        <v>670</v>
      </c>
      <c r="AC19" s="344"/>
      <c r="AD19" s="344"/>
      <c r="AE19" s="344"/>
      <c r="AF19" s="344"/>
      <c r="AG19" s="344"/>
      <c r="AH19" s="344"/>
      <c r="AI19" s="344"/>
      <c r="AJ19" s="344"/>
      <c r="AK19" s="345"/>
    </row>
    <row r="20" spans="1:37" ht="18.75" customHeight="1" x14ac:dyDescent="0.25">
      <c r="B20" s="256" t="s">
        <v>512</v>
      </c>
      <c r="C20" s="256"/>
      <c r="D20" s="256"/>
      <c r="E20" s="256"/>
      <c r="F20" s="256"/>
      <c r="G20" s="256"/>
      <c r="H20" s="256"/>
      <c r="I20" s="256"/>
      <c r="J20" s="256"/>
      <c r="K20" s="256"/>
      <c r="L20" s="256"/>
      <c r="M20" s="256"/>
      <c r="N20" s="256"/>
      <c r="O20" s="256"/>
      <c r="P20" s="256"/>
      <c r="Q20" s="2"/>
      <c r="R20" s="365"/>
      <c r="S20" s="366"/>
      <c r="T20" s="366"/>
      <c r="U20" s="367"/>
      <c r="V20" s="61"/>
      <c r="W20" s="363">
        <f t="shared" si="0"/>
        <v>0</v>
      </c>
      <c r="X20" s="363"/>
      <c r="Y20" s="363"/>
      <c r="Z20" s="363"/>
      <c r="AB20" s="346"/>
      <c r="AC20" s="347"/>
      <c r="AD20" s="347"/>
      <c r="AE20" s="347"/>
      <c r="AF20" s="347"/>
      <c r="AG20" s="347"/>
      <c r="AH20" s="347"/>
      <c r="AI20" s="347"/>
      <c r="AJ20" s="347"/>
      <c r="AK20" s="348"/>
    </row>
    <row r="21" spans="1:37" ht="18.75" customHeight="1" x14ac:dyDescent="0.25">
      <c r="B21" s="256" t="s">
        <v>431</v>
      </c>
      <c r="C21" s="256"/>
      <c r="D21" s="256"/>
      <c r="E21" s="256"/>
      <c r="F21" s="256"/>
      <c r="G21" s="256"/>
      <c r="H21" s="256"/>
      <c r="I21" s="256"/>
      <c r="J21" s="256"/>
      <c r="K21" s="256"/>
      <c r="L21" s="256"/>
      <c r="M21" s="256"/>
      <c r="N21" s="256"/>
      <c r="O21" s="256"/>
      <c r="P21" s="256"/>
      <c r="Q21" s="2"/>
      <c r="R21" s="315" t="str">
        <f>IFERROR($R$20/$R$18,"")</f>
        <v/>
      </c>
      <c r="S21" s="315"/>
      <c r="T21" s="315"/>
      <c r="U21" s="315"/>
      <c r="V21" s="7"/>
      <c r="W21" s="363" t="str">
        <f t="shared" si="0"/>
        <v/>
      </c>
      <c r="X21" s="363"/>
      <c r="Y21" s="363"/>
      <c r="Z21" s="363"/>
      <c r="AB21" s="349"/>
      <c r="AC21" s="350"/>
      <c r="AD21" s="350"/>
      <c r="AE21" s="350"/>
      <c r="AF21" s="350"/>
      <c r="AG21" s="350"/>
      <c r="AH21" s="350"/>
      <c r="AI21" s="350"/>
      <c r="AJ21" s="350"/>
      <c r="AK21" s="351"/>
    </row>
    <row r="22" spans="1:37" ht="18.75" customHeight="1" x14ac:dyDescent="0.25">
      <c r="B22" s="2"/>
      <c r="C22" s="2"/>
      <c r="D22" s="2"/>
      <c r="Q22" s="2"/>
      <c r="R22" s="2"/>
      <c r="V22" s="2"/>
      <c r="W22" s="2"/>
      <c r="AE22" s="2"/>
      <c r="AF22" s="17"/>
      <c r="AG22" s="17"/>
      <c r="AH22" s="17"/>
      <c r="AI22" s="17"/>
      <c r="AJ22" s="17"/>
    </row>
    <row r="23" spans="1:37" ht="18.75" customHeight="1" x14ac:dyDescent="0.25">
      <c r="B23" s="256" t="s">
        <v>432</v>
      </c>
      <c r="C23" s="256"/>
      <c r="D23" s="256"/>
      <c r="E23" s="256"/>
      <c r="F23" s="256"/>
      <c r="G23" s="256"/>
      <c r="H23" s="256"/>
      <c r="I23" s="256"/>
      <c r="J23" s="256"/>
      <c r="K23" s="256"/>
      <c r="L23" s="256"/>
      <c r="M23" s="256"/>
      <c r="N23" s="256"/>
      <c r="O23" s="256"/>
      <c r="P23" s="256"/>
      <c r="Q23" s="2"/>
      <c r="R23" s="368"/>
      <c r="S23" s="368"/>
      <c r="T23" s="368"/>
      <c r="U23" s="368"/>
      <c r="V23" s="82"/>
      <c r="W23" s="364">
        <f>R23</f>
        <v>0</v>
      </c>
      <c r="X23" s="364"/>
      <c r="Y23" s="364"/>
      <c r="Z23" s="364"/>
      <c r="AB23" s="352" t="s">
        <v>669</v>
      </c>
      <c r="AC23" s="353"/>
      <c r="AD23" s="353"/>
      <c r="AE23" s="353"/>
      <c r="AF23" s="353"/>
      <c r="AG23" s="353"/>
      <c r="AH23" s="353"/>
      <c r="AI23" s="353"/>
      <c r="AJ23" s="353"/>
      <c r="AK23" s="354"/>
    </row>
    <row r="24" spans="1:37" ht="18.75" customHeight="1" x14ac:dyDescent="0.25">
      <c r="B24" s="256" t="s">
        <v>470</v>
      </c>
      <c r="C24" s="256"/>
      <c r="D24" s="256"/>
      <c r="E24" s="256"/>
      <c r="F24" s="256"/>
      <c r="G24" s="256"/>
      <c r="H24" s="256"/>
      <c r="I24" s="256"/>
      <c r="J24" s="256"/>
      <c r="K24" s="256"/>
      <c r="L24" s="256"/>
      <c r="M24" s="256"/>
      <c r="N24" s="256"/>
      <c r="O24" s="256"/>
      <c r="P24" s="256"/>
      <c r="Q24" s="2"/>
      <c r="R24" s="372">
        <f>IFERROR(0.85*$R$23^2+0.15*$R$23,"")</f>
        <v>0</v>
      </c>
      <c r="S24" s="372"/>
      <c r="T24" s="372"/>
      <c r="U24" s="372"/>
      <c r="V24" s="2"/>
      <c r="W24" s="372">
        <f>IFERROR(0.85*$W$23^2+0.15*$W$23,"")</f>
        <v>0</v>
      </c>
      <c r="X24" s="372"/>
      <c r="Y24" s="372"/>
      <c r="Z24" s="372"/>
      <c r="AB24" s="355"/>
      <c r="AC24" s="356"/>
      <c r="AD24" s="356"/>
      <c r="AE24" s="356"/>
      <c r="AF24" s="356"/>
      <c r="AG24" s="356"/>
      <c r="AH24" s="356"/>
      <c r="AI24" s="356"/>
      <c r="AJ24" s="356"/>
      <c r="AK24" s="357"/>
    </row>
    <row r="25" spans="1:37" ht="18.75" customHeight="1" x14ac:dyDescent="0.25">
      <c r="B25" s="256" t="s">
        <v>23</v>
      </c>
      <c r="C25" s="256"/>
      <c r="D25" s="256"/>
      <c r="E25" s="256"/>
      <c r="F25" s="256"/>
      <c r="G25" s="256"/>
      <c r="H25" s="256"/>
      <c r="I25" s="256"/>
      <c r="J25" s="256"/>
      <c r="K25" s="256"/>
      <c r="L25" s="256"/>
      <c r="M25" s="256"/>
      <c r="N25" s="256"/>
      <c r="O25" s="256"/>
      <c r="P25" s="256"/>
      <c r="Q25" s="64" t="str">
        <f>IFERROR(R21/R19,"")</f>
        <v/>
      </c>
      <c r="R25" s="379" t="str">
        <f>IFERROR(INDEX('Distribution Factor'!$B$3:$B$53,MATCH($Q$25,'Distribution Factor'!$A$3:$A$53,-1)),"")</f>
        <v/>
      </c>
      <c r="S25" s="379"/>
      <c r="T25" s="379"/>
      <c r="U25" s="379"/>
      <c r="V25" s="65" t="str">
        <f>IFERROR(W21/W19,"")</f>
        <v/>
      </c>
      <c r="W25" s="372" t="str">
        <f>IFERROR(INDEX('Distribution Factor'!$B$3:$B$53,MATCH($V$25,'Distribution Factor'!$A$3:$A$53,-1)),"")</f>
        <v/>
      </c>
      <c r="X25" s="372"/>
      <c r="Y25" s="372"/>
      <c r="Z25" s="372"/>
      <c r="AB25" s="355"/>
      <c r="AC25" s="356"/>
      <c r="AD25" s="356"/>
      <c r="AE25" s="356"/>
      <c r="AF25" s="356"/>
      <c r="AG25" s="356"/>
      <c r="AH25" s="356"/>
      <c r="AI25" s="356"/>
      <c r="AJ25" s="356"/>
      <c r="AK25" s="357"/>
    </row>
    <row r="26" spans="1:37" ht="18.75" customHeight="1" x14ac:dyDescent="0.25">
      <c r="B26" s="36"/>
      <c r="C26" s="36"/>
      <c r="D26" s="36"/>
      <c r="E26" s="36"/>
      <c r="F26" s="36"/>
      <c r="G26" s="36"/>
      <c r="H26" s="36"/>
      <c r="I26" s="36"/>
      <c r="J26" s="36"/>
      <c r="K26" s="36"/>
      <c r="L26" s="36"/>
      <c r="M26" s="35"/>
      <c r="N26" s="35"/>
      <c r="O26" s="35"/>
      <c r="P26" s="35"/>
      <c r="Q26" s="2"/>
      <c r="R26" s="2"/>
      <c r="V26" s="2"/>
      <c r="W26" s="2"/>
      <c r="AB26" s="355"/>
      <c r="AC26" s="356"/>
      <c r="AD26" s="356"/>
      <c r="AE26" s="356"/>
      <c r="AF26" s="356"/>
      <c r="AG26" s="356"/>
      <c r="AH26" s="356"/>
      <c r="AI26" s="356"/>
      <c r="AJ26" s="356"/>
      <c r="AK26" s="357"/>
    </row>
    <row r="27" spans="1:37" ht="18.75" customHeight="1" x14ac:dyDescent="0.25">
      <c r="B27" s="256" t="s">
        <v>433</v>
      </c>
      <c r="C27" s="256"/>
      <c r="D27" s="256"/>
      <c r="E27" s="256"/>
      <c r="F27" s="256"/>
      <c r="G27" s="256"/>
      <c r="H27" s="256"/>
      <c r="I27" s="256"/>
      <c r="J27" s="256"/>
      <c r="K27" s="256"/>
      <c r="L27" s="256"/>
      <c r="M27" s="256"/>
      <c r="N27" s="256"/>
      <c r="O27" s="256"/>
      <c r="P27" s="256"/>
      <c r="Q27" s="2"/>
      <c r="R27" s="371"/>
      <c r="S27" s="371"/>
      <c r="T27" s="371"/>
      <c r="U27" s="371"/>
      <c r="V27" s="2"/>
      <c r="W27" s="371"/>
      <c r="X27" s="371"/>
      <c r="Y27" s="371"/>
      <c r="Z27" s="371"/>
      <c r="AB27" s="358"/>
      <c r="AC27" s="359"/>
      <c r="AD27" s="359"/>
      <c r="AE27" s="359"/>
      <c r="AF27" s="359"/>
      <c r="AG27" s="359"/>
      <c r="AH27" s="359"/>
      <c r="AI27" s="359"/>
      <c r="AJ27" s="359"/>
      <c r="AK27" s="360"/>
    </row>
    <row r="28" spans="1:37" ht="18.75" customHeight="1" x14ac:dyDescent="0.25">
      <c r="B28" s="2"/>
      <c r="C28" s="2"/>
      <c r="D28" s="2"/>
      <c r="Q28" s="2"/>
      <c r="R28" s="2"/>
      <c r="V28" s="2"/>
      <c r="W28" s="2"/>
      <c r="AE28" s="2"/>
    </row>
    <row r="29" spans="1:37" ht="18.75" customHeight="1" x14ac:dyDescent="0.25">
      <c r="B29" s="256" t="s">
        <v>24</v>
      </c>
      <c r="C29" s="256"/>
      <c r="D29" s="256"/>
      <c r="E29" s="256"/>
      <c r="F29" s="256"/>
      <c r="G29" s="256"/>
      <c r="H29" s="256"/>
      <c r="I29" s="256"/>
      <c r="J29" s="256"/>
      <c r="K29" s="256"/>
      <c r="L29" s="256"/>
      <c r="M29" s="256"/>
      <c r="N29" s="256"/>
      <c r="O29" s="256"/>
      <c r="P29" s="256"/>
      <c r="Q29" s="2"/>
      <c r="R29" s="255" t="s">
        <v>3</v>
      </c>
      <c r="S29" s="255"/>
      <c r="T29" s="255"/>
      <c r="U29" s="255"/>
      <c r="V29" s="2"/>
      <c r="W29" s="255" t="s">
        <v>3</v>
      </c>
      <c r="X29" s="255"/>
      <c r="Y29" s="255"/>
      <c r="Z29" s="255"/>
      <c r="AE29" s="2"/>
    </row>
    <row r="30" spans="1:37" ht="18.75" customHeight="1" x14ac:dyDescent="0.25">
      <c r="B30" s="256" t="s">
        <v>25</v>
      </c>
      <c r="C30" s="256"/>
      <c r="D30" s="256"/>
      <c r="E30" s="256"/>
      <c r="F30" s="256"/>
      <c r="G30" s="256"/>
      <c r="H30" s="256"/>
      <c r="I30" s="256"/>
      <c r="J30" s="256"/>
      <c r="K30" s="256"/>
      <c r="L30" s="256"/>
      <c r="M30" s="256"/>
      <c r="N30" s="256"/>
      <c r="O30" s="256"/>
      <c r="P30" s="256"/>
      <c r="Q30" s="2"/>
      <c r="R30" s="255" t="s">
        <v>3</v>
      </c>
      <c r="S30" s="255"/>
      <c r="T30" s="255"/>
      <c r="U30" s="255"/>
      <c r="V30" s="2"/>
      <c r="W30" s="255" t="s">
        <v>3</v>
      </c>
      <c r="X30" s="255"/>
      <c r="Y30" s="255"/>
      <c r="Z30" s="255"/>
      <c r="AD30" s="17"/>
      <c r="AE30" s="2"/>
    </row>
    <row r="31" spans="1:37" ht="18.75" customHeight="1" x14ac:dyDescent="0.25">
      <c r="A31" s="10"/>
      <c r="B31" s="336" t="str">
        <f>IFERROR(IF(OR($R$29+$R$30&lt;2,$W$29+$W$30&lt;2),"**Phase plus neutral conductors must add to 2 or more**",""),"")</f>
        <v/>
      </c>
      <c r="C31" s="336"/>
      <c r="D31" s="336"/>
      <c r="E31" s="336"/>
      <c r="F31" s="336"/>
      <c r="G31" s="336"/>
      <c r="H31" s="336"/>
      <c r="I31" s="336"/>
      <c r="J31" s="336"/>
      <c r="K31" s="336"/>
      <c r="L31" s="336"/>
      <c r="M31" s="336"/>
      <c r="N31" s="336"/>
      <c r="O31" s="336"/>
      <c r="P31" s="336"/>
      <c r="Q31" s="2"/>
      <c r="R31" s="340"/>
      <c r="S31" s="341"/>
      <c r="T31" s="341"/>
      <c r="U31" s="342"/>
      <c r="V31" s="2"/>
      <c r="W31" s="2"/>
      <c r="AE31" s="2"/>
    </row>
    <row r="32" spans="1:37" ht="18.75" customHeight="1" x14ac:dyDescent="0.25">
      <c r="B32" s="256" t="s">
        <v>27</v>
      </c>
      <c r="C32" s="256"/>
      <c r="D32" s="256"/>
      <c r="E32" s="256"/>
      <c r="F32" s="256"/>
      <c r="G32" s="256"/>
      <c r="H32" s="256"/>
      <c r="I32" s="256"/>
      <c r="J32" s="256"/>
      <c r="K32" s="256"/>
      <c r="L32" s="256"/>
      <c r="M32" s="256"/>
      <c r="N32" s="256"/>
      <c r="O32" s="256"/>
      <c r="P32" s="256"/>
      <c r="Q32" s="2"/>
      <c r="R32" s="333" t="s">
        <v>3</v>
      </c>
      <c r="S32" s="333"/>
      <c r="T32" s="333"/>
      <c r="U32" s="333"/>
      <c r="V32" s="2"/>
      <c r="W32" s="255" t="s">
        <v>3</v>
      </c>
      <c r="X32" s="255"/>
      <c r="Y32" s="255"/>
      <c r="Z32" s="255"/>
      <c r="AE32" s="2"/>
    </row>
    <row r="33" spans="2:61" ht="18.75" customHeight="1" x14ac:dyDescent="0.25">
      <c r="B33" s="256" t="s">
        <v>26</v>
      </c>
      <c r="C33" s="256"/>
      <c r="D33" s="256"/>
      <c r="E33" s="256"/>
      <c r="F33" s="256"/>
      <c r="G33" s="256"/>
      <c r="H33" s="256"/>
      <c r="I33" s="256"/>
      <c r="J33" s="256"/>
      <c r="K33" s="256"/>
      <c r="L33" s="256"/>
      <c r="M33" s="256"/>
      <c r="N33" s="256"/>
      <c r="O33" s="256"/>
      <c r="P33" s="256"/>
      <c r="Q33" s="2"/>
      <c r="R33" s="172" t="s">
        <v>3</v>
      </c>
      <c r="S33" s="172"/>
      <c r="T33" s="172"/>
      <c r="U33" s="172"/>
      <c r="V33" s="2"/>
      <c r="W33" s="255" t="s">
        <v>3</v>
      </c>
      <c r="X33" s="255"/>
      <c r="Y33" s="255"/>
      <c r="Z33" s="255"/>
      <c r="AE33" s="17"/>
      <c r="AF33" s="2"/>
    </row>
    <row r="34" spans="2:61" ht="18.75" customHeight="1" x14ac:dyDescent="0.25">
      <c r="B34" s="256" t="s">
        <v>109</v>
      </c>
      <c r="C34" s="256"/>
      <c r="D34" s="256"/>
      <c r="E34" s="256"/>
      <c r="F34" s="256"/>
      <c r="G34" s="256"/>
      <c r="H34" s="256"/>
      <c r="I34" s="256"/>
      <c r="J34" s="256"/>
      <c r="K34" s="256"/>
      <c r="L34" s="256"/>
      <c r="M34" s="256"/>
      <c r="N34" s="256"/>
      <c r="O34" s="256"/>
      <c r="P34" s="256"/>
      <c r="Q34" s="2"/>
      <c r="R34" s="257" t="str">
        <f ca="1">IFERROR(VLOOKUP($R$33,INDIRECT($R$32&amp;"T"),2,),"")</f>
        <v/>
      </c>
      <c r="S34" s="257"/>
      <c r="T34" s="257"/>
      <c r="U34" s="257"/>
      <c r="V34" s="2"/>
      <c r="W34" s="257" t="str">
        <f ca="1">IFERROR(VLOOKUP($W$33,INDIRECT($W$32&amp;"T"),2,),"")</f>
        <v/>
      </c>
      <c r="X34" s="257"/>
      <c r="Y34" s="257"/>
      <c r="Z34" s="257"/>
      <c r="AD34" s="17"/>
      <c r="AE34" s="17"/>
      <c r="AG34" s="17"/>
    </row>
    <row r="35" spans="2:61" ht="18.75" customHeight="1" x14ac:dyDescent="0.25">
      <c r="Q35" s="2"/>
      <c r="R35" s="2"/>
      <c r="S35" s="2"/>
      <c r="V35" s="2"/>
      <c r="W35" s="2"/>
    </row>
    <row r="36" spans="2:61" ht="18.75" customHeight="1" x14ac:dyDescent="0.25">
      <c r="B36" s="256" t="s">
        <v>29</v>
      </c>
      <c r="C36" s="256"/>
      <c r="D36" s="256"/>
      <c r="E36" s="256"/>
      <c r="F36" s="256"/>
      <c r="G36" s="256"/>
      <c r="H36" s="256"/>
      <c r="I36" s="256"/>
      <c r="J36" s="256"/>
      <c r="K36" s="256"/>
      <c r="L36" s="256"/>
      <c r="M36" s="256"/>
      <c r="N36" s="256"/>
      <c r="O36" s="256"/>
      <c r="P36" s="256"/>
      <c r="Q36" s="2"/>
      <c r="R36" s="333" t="s">
        <v>3</v>
      </c>
      <c r="S36" s="333"/>
      <c r="T36" s="333"/>
      <c r="U36" s="333"/>
      <c r="V36" s="2"/>
      <c r="W36" s="255" t="s">
        <v>3</v>
      </c>
      <c r="X36" s="255"/>
      <c r="Y36" s="255"/>
      <c r="Z36" s="255"/>
      <c r="AE36" s="2"/>
    </row>
    <row r="37" spans="2:61" ht="18.75" customHeight="1" x14ac:dyDescent="0.25">
      <c r="B37" s="256" t="s">
        <v>28</v>
      </c>
      <c r="C37" s="256"/>
      <c r="D37" s="256"/>
      <c r="E37" s="256"/>
      <c r="F37" s="256"/>
      <c r="G37" s="256"/>
      <c r="H37" s="256"/>
      <c r="I37" s="256"/>
      <c r="J37" s="256"/>
      <c r="K37" s="256"/>
      <c r="L37" s="256"/>
      <c r="M37" s="256"/>
      <c r="N37" s="256"/>
      <c r="O37" s="256"/>
      <c r="P37" s="256"/>
      <c r="Q37" s="2"/>
      <c r="R37" s="255" t="s">
        <v>3</v>
      </c>
      <c r="S37" s="255"/>
      <c r="T37" s="255"/>
      <c r="U37" s="255"/>
      <c r="V37" s="2"/>
      <c r="W37" s="255" t="s">
        <v>3</v>
      </c>
      <c r="X37" s="255"/>
      <c r="Y37" s="255"/>
      <c r="Z37" s="255"/>
      <c r="AE37" s="2"/>
    </row>
    <row r="38" spans="2:61" ht="18.75" customHeight="1" x14ac:dyDescent="0.25">
      <c r="B38" s="256" t="s">
        <v>109</v>
      </c>
      <c r="C38" s="256"/>
      <c r="D38" s="256"/>
      <c r="E38" s="256"/>
      <c r="F38" s="256"/>
      <c r="G38" s="256"/>
      <c r="H38" s="256"/>
      <c r="I38" s="256"/>
      <c r="J38" s="256"/>
      <c r="K38" s="256"/>
      <c r="L38" s="256"/>
      <c r="M38" s="256"/>
      <c r="N38" s="256"/>
      <c r="O38" s="256"/>
      <c r="P38" s="256"/>
      <c r="R38" s="257" t="str">
        <f ca="1">IFERROR(VLOOKUP($R$37,INDIRECT($R$36&amp;"T"),2,),"")</f>
        <v/>
      </c>
      <c r="S38" s="257"/>
      <c r="T38" s="257"/>
      <c r="U38" s="257"/>
      <c r="W38" s="257" t="str">
        <f ca="1">IFERROR(VLOOKUP($W$37,INDIRECT($W$36&amp;"T"),2,),"")</f>
        <v/>
      </c>
      <c r="X38" s="257"/>
      <c r="Y38" s="257"/>
      <c r="Z38" s="257"/>
    </row>
    <row r="39" spans="2:61" ht="18.75" customHeight="1" x14ac:dyDescent="0.25">
      <c r="B39" s="2"/>
      <c r="C39" s="2"/>
      <c r="D39" s="2"/>
      <c r="S39" s="2"/>
    </row>
    <row r="40" spans="2:61" ht="18.75" customHeight="1" x14ac:dyDescent="0.25">
      <c r="B40" s="256" t="s">
        <v>471</v>
      </c>
      <c r="C40" s="256"/>
      <c r="D40" s="256"/>
      <c r="E40" s="256"/>
      <c r="F40" s="256"/>
      <c r="G40" s="256"/>
      <c r="H40" s="256"/>
      <c r="I40" s="256"/>
      <c r="J40" s="256"/>
      <c r="K40" s="256"/>
      <c r="L40" s="256"/>
      <c r="M40" s="256"/>
      <c r="N40" s="256"/>
      <c r="O40" s="256"/>
      <c r="P40" s="256"/>
      <c r="R40" s="294" t="str">
        <f ca="1">IFERROR(VLOOKUP($R$33,INDIRECT($R$32&amp;"T"),2,)*$W$16,"")</f>
        <v/>
      </c>
      <c r="S40" s="294"/>
      <c r="T40" s="294"/>
      <c r="U40" s="294"/>
      <c r="W40" s="294" t="str">
        <f ca="1">IFERROR(VLOOKUP($W$33,INDIRECT($W$32&amp;"T"),2,)*$W$16,"")</f>
        <v/>
      </c>
      <c r="X40" s="294"/>
      <c r="Y40" s="294"/>
      <c r="Z40" s="294"/>
      <c r="AE40" s="2"/>
    </row>
    <row r="41" spans="2:61" ht="18.75" customHeight="1" x14ac:dyDescent="0.25">
      <c r="B41" s="256" t="s">
        <v>472</v>
      </c>
      <c r="C41" s="256"/>
      <c r="D41" s="256"/>
      <c r="E41" s="256"/>
      <c r="F41" s="256"/>
      <c r="G41" s="256"/>
      <c r="H41" s="256"/>
      <c r="I41" s="256"/>
      <c r="J41" s="256"/>
      <c r="K41" s="256"/>
      <c r="L41" s="256"/>
      <c r="M41" s="256"/>
      <c r="N41" s="256"/>
      <c r="O41" s="256"/>
      <c r="P41" s="256"/>
      <c r="R41" s="294">
        <f ca="1">IFERROR(VLOOKUP($R$37,INDIRECT($R$36&amp;"T"),2,)*$W$16,0)</f>
        <v>0</v>
      </c>
      <c r="S41" s="294"/>
      <c r="T41" s="294"/>
      <c r="U41" s="294"/>
      <c r="W41" s="294">
        <f ca="1">IFERROR(VLOOKUP($W$37,INDIRECT($W$36&amp;"T"),2,)*$W$16,0)</f>
        <v>0</v>
      </c>
      <c r="X41" s="294"/>
      <c r="Y41" s="294"/>
      <c r="Z41" s="294"/>
      <c r="AE41" s="2"/>
    </row>
    <row r="42" spans="2:61" ht="18.75" customHeight="1" x14ac:dyDescent="0.25">
      <c r="B42" s="34"/>
      <c r="C42" s="34"/>
      <c r="D42" s="34"/>
      <c r="E42" s="34"/>
      <c r="F42" s="34"/>
      <c r="G42" s="34"/>
      <c r="H42" s="34"/>
      <c r="I42" s="34"/>
      <c r="J42" s="34"/>
      <c r="K42" s="34"/>
      <c r="L42" s="34"/>
      <c r="M42" s="34"/>
      <c r="N42" s="34"/>
      <c r="O42" s="34"/>
      <c r="P42" s="34"/>
      <c r="AE42" s="2"/>
    </row>
    <row r="43" spans="2:61" ht="18.75" customHeight="1" x14ac:dyDescent="0.25">
      <c r="B43" s="286" t="s">
        <v>469</v>
      </c>
      <c r="C43" s="286"/>
      <c r="D43" s="286"/>
      <c r="E43" s="286"/>
      <c r="F43" s="286"/>
      <c r="G43" s="286"/>
      <c r="H43" s="286"/>
      <c r="I43" s="286"/>
      <c r="J43" s="286"/>
      <c r="K43" s="286"/>
      <c r="L43" s="286"/>
      <c r="M43" s="34"/>
      <c r="N43" s="34"/>
      <c r="R43" s="261" t="s">
        <v>7</v>
      </c>
      <c r="S43" s="262"/>
      <c r="T43" s="262"/>
      <c r="U43" s="263"/>
      <c r="Z43" s="17"/>
      <c r="AA43" s="17"/>
      <c r="AB43" s="343" t="s">
        <v>687</v>
      </c>
      <c r="AC43" s="344"/>
      <c r="AD43" s="344"/>
      <c r="AE43" s="344"/>
      <c r="AF43" s="344"/>
      <c r="AG43" s="344"/>
      <c r="AH43" s="344"/>
      <c r="AI43" s="344"/>
      <c r="AJ43" s="344"/>
      <c r="AK43" s="345"/>
    </row>
    <row r="44" spans="2:61" ht="18.75" customHeight="1" x14ac:dyDescent="0.25">
      <c r="B44" s="78"/>
      <c r="C44" s="78"/>
      <c r="D44" s="78"/>
      <c r="E44" s="78"/>
      <c r="F44" s="78"/>
      <c r="G44" s="78"/>
      <c r="H44" s="78"/>
      <c r="I44" s="78"/>
      <c r="M44" s="34"/>
      <c r="N44" s="34"/>
      <c r="R44" s="79"/>
      <c r="AB44" s="346"/>
      <c r="AC44" s="347"/>
      <c r="AD44" s="347"/>
      <c r="AE44" s="347"/>
      <c r="AF44" s="347"/>
      <c r="AG44" s="347"/>
      <c r="AH44" s="347"/>
      <c r="AI44" s="347"/>
      <c r="AJ44" s="347"/>
      <c r="AK44" s="348"/>
      <c r="BC44" s="32"/>
      <c r="BD44" s="32"/>
      <c r="BE44" s="32"/>
      <c r="BF44" s="32"/>
      <c r="BG44" s="32"/>
      <c r="BH44" s="32"/>
      <c r="BI44" s="32"/>
    </row>
    <row r="45" spans="2:61" ht="18.75" customHeight="1" x14ac:dyDescent="0.25">
      <c r="J45" s="264" t="s">
        <v>397</v>
      </c>
      <c r="K45" s="265"/>
      <c r="L45" s="266"/>
      <c r="M45" s="34"/>
      <c r="N45" s="264" t="s">
        <v>398</v>
      </c>
      <c r="O45" s="265"/>
      <c r="P45" s="266"/>
      <c r="AB45" s="346"/>
      <c r="AC45" s="347"/>
      <c r="AD45" s="347"/>
      <c r="AE45" s="347"/>
      <c r="AF45" s="347"/>
      <c r="AG45" s="347"/>
      <c r="AH45" s="347"/>
      <c r="AI45" s="347"/>
      <c r="AJ45" s="347"/>
      <c r="AK45" s="348"/>
      <c r="AP45" s="17"/>
      <c r="AR45" s="17"/>
      <c r="AS45" s="89"/>
      <c r="AT45" s="17"/>
      <c r="AU45" s="17"/>
      <c r="AV45" s="17"/>
      <c r="AW45" s="17"/>
      <c r="AX45" s="17"/>
      <c r="AY45" s="17"/>
      <c r="AZ45" s="17"/>
      <c r="BA45" s="17"/>
    </row>
    <row r="46" spans="2:61" ht="18.75" customHeight="1" x14ac:dyDescent="0.25">
      <c r="B46" s="2"/>
      <c r="C46" s="2"/>
      <c r="D46" s="2"/>
      <c r="J46" s="267"/>
      <c r="K46" s="268"/>
      <c r="L46" s="269"/>
      <c r="N46" s="267"/>
      <c r="O46" s="268"/>
      <c r="P46" s="269"/>
      <c r="R46" s="23"/>
      <c r="W46" s="23"/>
      <c r="AB46" s="349"/>
      <c r="AC46" s="350"/>
      <c r="AD46" s="350"/>
      <c r="AE46" s="350"/>
      <c r="AF46" s="350"/>
      <c r="AG46" s="350"/>
      <c r="AH46" s="350"/>
      <c r="AI46" s="350"/>
      <c r="AJ46" s="350"/>
      <c r="AK46" s="351"/>
    </row>
    <row r="47" spans="2:61" ht="18.75" customHeight="1" x14ac:dyDescent="0.25">
      <c r="B47" s="258" t="s">
        <v>434</v>
      </c>
      <c r="C47" s="259"/>
      <c r="D47" s="259"/>
      <c r="E47" s="259"/>
      <c r="F47" s="259"/>
      <c r="G47" s="259"/>
      <c r="H47" s="260"/>
      <c r="J47" s="337"/>
      <c r="K47" s="338"/>
      <c r="L47" s="339"/>
      <c r="N47" s="274">
        <f>IF(J47="",0,J47)</f>
        <v>0</v>
      </c>
      <c r="O47" s="275"/>
      <c r="P47" s="276"/>
      <c r="R47" s="270" t="str">
        <f>IFERROR(IF($R$43="No",$R$19/($R$29*$R$27),""),"")</f>
        <v/>
      </c>
      <c r="S47" s="270"/>
      <c r="T47" s="270"/>
      <c r="U47" s="270"/>
      <c r="W47" s="270" t="str">
        <f>IFERROR(IF($R$43="No",$W$19/($W$29*$W$27),""),"")</f>
        <v/>
      </c>
      <c r="X47" s="270"/>
      <c r="Y47" s="270"/>
      <c r="Z47" s="270"/>
      <c r="AB47" s="140"/>
      <c r="AC47" s="140"/>
      <c r="AD47" s="140"/>
      <c r="AE47" s="140"/>
      <c r="AF47" s="140"/>
      <c r="AG47" s="140"/>
      <c r="AH47" s="140"/>
      <c r="AI47" s="140"/>
      <c r="AJ47" s="140"/>
      <c r="AK47" s="140"/>
      <c r="AO47" s="2"/>
    </row>
    <row r="48" spans="2:61" ht="18.75" customHeight="1" x14ac:dyDescent="0.25">
      <c r="B48" s="258" t="s">
        <v>435</v>
      </c>
      <c r="C48" s="259"/>
      <c r="D48" s="259"/>
      <c r="E48" s="259"/>
      <c r="F48" s="259"/>
      <c r="G48" s="259"/>
      <c r="H48" s="260"/>
      <c r="J48" s="337"/>
      <c r="K48" s="338"/>
      <c r="L48" s="339"/>
      <c r="N48" s="274">
        <f>J48</f>
        <v>0</v>
      </c>
      <c r="O48" s="275"/>
      <c r="P48" s="276"/>
      <c r="R48" s="270" t="str">
        <f>IFERROR(IF(AND($R$29&gt;=2,$R$43="No"), $R$19/($R$29*$R$27), 0),"")</f>
        <v/>
      </c>
      <c r="S48" s="270"/>
      <c r="T48" s="270"/>
      <c r="U48" s="270"/>
      <c r="W48" s="270" t="str">
        <f>IFERROR(IF(AND($W$29&gt;=2,$R$43="No"), $W$19/($W$29*$W$27), 0),"")</f>
        <v/>
      </c>
      <c r="X48" s="270"/>
      <c r="Y48" s="270"/>
      <c r="Z48" s="270"/>
      <c r="AB48" s="140"/>
      <c r="AC48" s="140"/>
      <c r="AD48" s="140"/>
      <c r="AE48" s="140"/>
      <c r="AF48" s="140"/>
      <c r="AG48" s="140"/>
      <c r="AH48" s="140"/>
      <c r="AI48" s="140"/>
      <c r="AJ48" s="140"/>
      <c r="AK48" s="140"/>
      <c r="AO48" s="2"/>
    </row>
    <row r="49" spans="1:54" ht="18.75" customHeight="1" x14ac:dyDescent="0.25">
      <c r="B49" s="258" t="s">
        <v>436</v>
      </c>
      <c r="C49" s="259"/>
      <c r="D49" s="259"/>
      <c r="E49" s="259"/>
      <c r="F49" s="259"/>
      <c r="G49" s="259"/>
      <c r="H49" s="260"/>
      <c r="J49" s="337"/>
      <c r="K49" s="338"/>
      <c r="L49" s="339"/>
      <c r="N49" s="274">
        <f t="shared" ref="N49" si="1">J49</f>
        <v>0</v>
      </c>
      <c r="O49" s="275"/>
      <c r="P49" s="276"/>
      <c r="R49" s="270" t="str">
        <f>IFERROR(IF(AND($R$29&gt;=3,$R$43="No"), $R$19/($R$29*$R$27), 0),"")</f>
        <v/>
      </c>
      <c r="S49" s="270"/>
      <c r="T49" s="270"/>
      <c r="U49" s="270"/>
      <c r="W49" s="270" t="str">
        <f>IFERROR(IF(AND($W$29&gt;=3,$R$43="No"), $W$19/($W$29*$W$27), 0),"")</f>
        <v/>
      </c>
      <c r="X49" s="270"/>
      <c r="Y49" s="270"/>
      <c r="Z49" s="270"/>
      <c r="AB49" s="140"/>
      <c r="AC49" s="140"/>
      <c r="AK49" s="140"/>
      <c r="AO49" s="2"/>
    </row>
    <row r="50" spans="1:54" ht="18.75" customHeight="1" x14ac:dyDescent="0.25">
      <c r="B50" s="258" t="s">
        <v>437</v>
      </c>
      <c r="C50" s="259"/>
      <c r="D50" s="259"/>
      <c r="E50" s="259"/>
      <c r="F50" s="259"/>
      <c r="G50" s="259"/>
      <c r="H50" s="260"/>
      <c r="J50" s="296">
        <f>IFERROR(IF(OR(R30=0,R30="--Select--"),0,IF(AND(R29=1,R30=1),J47,IF(MAX($J$47:$L$49)/MIN(J47:L49)&gt;1.15, SQRT($J$47^2+$J$48^2+$J$49^2-$J$47*$J$48-$J$48*$J$49-$J$49*$J$47),$J$47*0.15))),"")</f>
        <v>0</v>
      </c>
      <c r="K50" s="297"/>
      <c r="L50" s="298"/>
      <c r="N50" s="274">
        <f>IFERROR(IF(OR(W30=0,W30="--Select--"),0,IF(AND(W29=1,W30=1),N47,IF(MAX($N$47:$P$49)/MIN(N47:P49)&gt;1.15, SQRT($N$47^2+$N$48^2+$N$49^2-$N$47*$N$48-$N$48*$N$49-$N$49*$N$47),$N$47*0.15))),"")</f>
        <v>0</v>
      </c>
      <c r="O50" s="275"/>
      <c r="P50" s="276"/>
      <c r="R50" s="270">
        <f>IFERROR(IF(OR(R30=0,R30="--Select--",R43="Yes"),0,IF(AND(R29=1,R30=1),R47,0.15*$R$47)),"")</f>
        <v>0</v>
      </c>
      <c r="S50" s="270"/>
      <c r="T50" s="270"/>
      <c r="U50" s="270"/>
      <c r="W50" s="270">
        <f>IFERROR(IF(OR(W30=0,W30="--Select--",R43="Yes"),0,IF(AND(W29=1,W30=1),W47,0.15*$W$47)),"")</f>
        <v>0</v>
      </c>
      <c r="X50" s="270"/>
      <c r="Y50" s="270"/>
      <c r="Z50" s="270"/>
      <c r="AB50" s="140"/>
      <c r="AC50" s="140"/>
      <c r="AK50" s="140"/>
      <c r="AM50" s="6"/>
      <c r="AO50" s="2"/>
      <c r="BA50" s="17"/>
      <c r="BB50" s="17"/>
    </row>
    <row r="51" spans="1:54" ht="18.75" customHeight="1" x14ac:dyDescent="0.25">
      <c r="B51" s="258" t="s">
        <v>538</v>
      </c>
      <c r="C51" s="259"/>
      <c r="D51" s="259"/>
      <c r="E51" s="259"/>
      <c r="F51" s="259"/>
      <c r="G51" s="259"/>
      <c r="H51" s="260"/>
      <c r="J51" s="299" t="str">
        <f ca="1">IFERROR((J47*R25)^2*R40+(J48*R25)^2*R40+(J49*R25)^2*R40+(J50*R25)^2*R41,"")</f>
        <v/>
      </c>
      <c r="K51" s="300"/>
      <c r="L51" s="301"/>
      <c r="N51" s="290" t="str">
        <f ca="1">IFERROR((N47*W25)^2*W40+(N48*W25)^2*W40+(N49*W25)^2*W40+(N50*W25)^2*W41,"")</f>
        <v/>
      </c>
      <c r="O51" s="291"/>
      <c r="P51" s="292"/>
      <c r="Q51" s="2"/>
      <c r="R51" s="293" t="str">
        <f ca="1">IFERROR((R47*R25)^2*R40+(R48*R25)^2*R40+(R49*R25)^2*R40+(R50*R25)^2*R41,"")</f>
        <v/>
      </c>
      <c r="S51" s="293"/>
      <c r="T51" s="293"/>
      <c r="U51" s="293"/>
      <c r="V51" s="67"/>
      <c r="W51" s="293" t="str">
        <f ca="1">IFERROR(IF(ISBLANK(W47), "",(W47*W25)^2*W40+(W48*W25)^2*W40+(W49*W25)^2*W40+(W50*W25)^2*W41),"")</f>
        <v/>
      </c>
      <c r="X51" s="293"/>
      <c r="Y51" s="293"/>
      <c r="Z51" s="293"/>
      <c r="AB51" s="140"/>
      <c r="AJ51" s="140"/>
      <c r="AK51" s="140"/>
      <c r="AN51" s="2"/>
      <c r="AO51" s="2"/>
      <c r="BA51" s="17"/>
      <c r="BB51" s="17"/>
    </row>
    <row r="52" spans="1:54" ht="18.75" customHeight="1" x14ac:dyDescent="0.25">
      <c r="B52" s="34"/>
      <c r="C52" s="34"/>
      <c r="D52" s="34"/>
      <c r="E52" s="34"/>
      <c r="F52" s="34"/>
      <c r="G52" s="34"/>
      <c r="H52" s="34"/>
      <c r="J52" s="119"/>
      <c r="K52" s="119"/>
      <c r="L52" s="119"/>
      <c r="AD52" s="141" t="s">
        <v>463</v>
      </c>
      <c r="AE52" s="141"/>
      <c r="AF52" s="141" t="s">
        <v>463</v>
      </c>
      <c r="AG52" s="141"/>
      <c r="AH52" s="144" t="s">
        <v>464</v>
      </c>
      <c r="AI52" s="33"/>
      <c r="AJ52" s="33"/>
      <c r="AN52" s="2"/>
      <c r="AO52" s="2"/>
      <c r="AZ52" s="17"/>
      <c r="BA52" s="17"/>
      <c r="BB52" s="17"/>
    </row>
    <row r="53" spans="1:54" ht="18.75" customHeight="1" x14ac:dyDescent="0.35">
      <c r="A53" s="10"/>
      <c r="B53" s="2"/>
      <c r="C53" s="2"/>
      <c r="D53" s="2"/>
      <c r="J53" s="271" t="str">
        <f>IFERROR(IF(ABS((J47*R27+J48*R27+J49*R27)-R19)/R19&gt;0.1,"ERROR",""),"")</f>
        <v/>
      </c>
      <c r="K53" s="272"/>
      <c r="L53" s="273"/>
      <c r="N53" s="271" t="str">
        <f>IFERROR(IF(ABS((N47*R27+N48*R27+N49*R27)-R19)/R19&gt;0.1,"ERROR",""),"")</f>
        <v/>
      </c>
      <c r="O53" s="272"/>
      <c r="P53" s="273"/>
      <c r="R53" s="334" t="str">
        <f>IF($R$43="Yes",IF(OR(J53="ERROR",N53="ERROR"),"*Currents do not equal kVA value*",IF(AH53=FALSE,"*Current sums do not match*","")),"")</f>
        <v/>
      </c>
      <c r="S53" s="335"/>
      <c r="T53" s="335"/>
      <c r="U53" s="335"/>
      <c r="V53" s="335"/>
      <c r="W53" s="335"/>
      <c r="X53" s="335"/>
      <c r="Y53" s="335"/>
      <c r="Z53" s="335"/>
      <c r="AC53" s="10"/>
      <c r="AD53" s="142">
        <f>SUM(J47:L49)</f>
        <v>0</v>
      </c>
      <c r="AE53" s="143"/>
      <c r="AF53" s="142">
        <f>SUM(N47:P49)</f>
        <v>0</v>
      </c>
      <c r="AG53" s="141"/>
      <c r="AH53" s="144" t="b">
        <f>AD53=AF53</f>
        <v>1</v>
      </c>
      <c r="AI53" s="33"/>
      <c r="AJ53" s="33"/>
      <c r="AZ53" s="17"/>
      <c r="BA53" s="17"/>
    </row>
    <row r="54" spans="1:54" ht="18.75" customHeight="1" x14ac:dyDescent="0.25">
      <c r="B54" s="2"/>
      <c r="C54" s="2"/>
      <c r="D54" s="2"/>
      <c r="Q54" s="90"/>
      <c r="W54" s="59"/>
      <c r="AL54" s="17"/>
      <c r="AZ54" s="17"/>
      <c r="BA54" s="17"/>
      <c r="BB54" s="17"/>
    </row>
    <row r="55" spans="1:54" ht="18.75" customHeight="1" x14ac:dyDescent="0.25">
      <c r="B55" s="295" t="s">
        <v>441</v>
      </c>
      <c r="C55" s="295"/>
      <c r="D55" s="295"/>
      <c r="E55" s="295"/>
      <c r="F55" s="295"/>
      <c r="G55" s="295"/>
      <c r="H55" s="295"/>
      <c r="I55" s="295"/>
      <c r="J55" s="295"/>
      <c r="K55" s="295"/>
      <c r="L55" s="295"/>
      <c r="M55" s="295"/>
      <c r="N55" s="295"/>
      <c r="O55" s="295"/>
      <c r="P55" s="295"/>
      <c r="Q55" s="2"/>
      <c r="R55" s="293" t="str">
        <f ca="1">IFERROR(IF(R43="No",$R$24*8760*$R$51/1000,$R$24*8760*$J$51/1000),"")</f>
        <v/>
      </c>
      <c r="S55" s="293"/>
      <c r="T55" s="293"/>
      <c r="U55" s="293"/>
      <c r="V55" s="67"/>
      <c r="W55" s="293" t="str">
        <f ca="1">IFERROR(IF(R43="No",$W$24*8760*$W$51/1000, $W$24*8760*$N$51/1000),"")</f>
        <v/>
      </c>
      <c r="X55" s="293"/>
      <c r="Y55" s="293"/>
      <c r="Z55" s="293"/>
    </row>
    <row r="56" spans="1:54" ht="18.75" customHeight="1" thickBot="1" x14ac:dyDescent="0.3">
      <c r="B56" s="2"/>
      <c r="C56" s="2"/>
      <c r="D56" s="2"/>
      <c r="Q56" s="2"/>
      <c r="S56" s="2"/>
      <c r="V56" s="2"/>
      <c r="AZ56" s="17"/>
      <c r="BA56" s="17"/>
      <c r="BB56" s="17"/>
    </row>
    <row r="57" spans="1:54" ht="18.75" customHeight="1" thickBot="1" x14ac:dyDescent="0.3">
      <c r="B57" s="280" t="s">
        <v>485</v>
      </c>
      <c r="C57" s="281"/>
      <c r="D57" s="281"/>
      <c r="E57" s="281"/>
      <c r="F57" s="281"/>
      <c r="G57" s="281"/>
      <c r="H57" s="281"/>
      <c r="I57" s="281"/>
      <c r="J57" s="281"/>
      <c r="K57" s="281"/>
      <c r="L57" s="281"/>
      <c r="M57" s="281"/>
      <c r="N57" s="281"/>
      <c r="O57" s="281"/>
      <c r="P57" s="282"/>
      <c r="R57" s="283" t="str">
        <f ca="1">IFERROR($R$55-$W$55,"")</f>
        <v/>
      </c>
      <c r="S57" s="284"/>
      <c r="T57" s="284"/>
      <c r="U57" s="284"/>
      <c r="V57" s="284"/>
      <c r="W57" s="284"/>
      <c r="X57" s="284"/>
      <c r="Y57" s="284"/>
      <c r="Z57" s="285"/>
      <c r="AB57" s="373" t="s">
        <v>487</v>
      </c>
      <c r="AC57" s="374"/>
      <c r="AD57" s="374"/>
      <c r="AE57" s="375"/>
    </row>
    <row r="58" spans="1:54" ht="18.75" customHeight="1" thickBot="1" x14ac:dyDescent="0.3">
      <c r="B58" s="280" t="s">
        <v>486</v>
      </c>
      <c r="C58" s="281"/>
      <c r="D58" s="281"/>
      <c r="E58" s="281"/>
      <c r="F58" s="281"/>
      <c r="G58" s="281"/>
      <c r="H58" s="281"/>
      <c r="I58" s="281"/>
      <c r="J58" s="281"/>
      <c r="K58" s="281"/>
      <c r="L58" s="281"/>
      <c r="M58" s="281"/>
      <c r="N58" s="281"/>
      <c r="O58" s="281"/>
      <c r="P58" s="282"/>
      <c r="R58" s="283" t="str">
        <f ca="1">IFERROR($R$57*AB58,"")</f>
        <v/>
      </c>
      <c r="S58" s="284"/>
      <c r="T58" s="284"/>
      <c r="U58" s="284"/>
      <c r="V58" s="284"/>
      <c r="W58" s="284"/>
      <c r="X58" s="284"/>
      <c r="Y58" s="284"/>
      <c r="Z58" s="285"/>
      <c r="AB58" s="376">
        <v>1.09056</v>
      </c>
      <c r="AC58" s="377"/>
      <c r="AD58" s="377"/>
      <c r="AE58" s="378"/>
    </row>
    <row r="59" spans="1:54" ht="18.75" customHeight="1" thickBot="1" x14ac:dyDescent="0.3">
      <c r="AB59" s="2"/>
    </row>
    <row r="60" spans="1:54" ht="18.75" customHeight="1" thickBot="1" x14ac:dyDescent="0.3">
      <c r="B60" s="287" t="s">
        <v>539</v>
      </c>
      <c r="C60" s="288"/>
      <c r="D60" s="288"/>
      <c r="E60" s="288"/>
      <c r="F60" s="288"/>
      <c r="G60" s="288"/>
      <c r="H60" s="288"/>
      <c r="I60" s="288"/>
      <c r="J60" s="288"/>
      <c r="K60" s="288"/>
      <c r="L60" s="288"/>
      <c r="M60" s="288"/>
      <c r="N60" s="288"/>
      <c r="O60" s="288"/>
      <c r="P60" s="289"/>
      <c r="R60" s="252"/>
      <c r="S60" s="253"/>
      <c r="T60" s="253"/>
      <c r="U60" s="253"/>
      <c r="V60" s="253"/>
      <c r="W60" s="253"/>
      <c r="X60" s="253"/>
      <c r="Y60" s="253"/>
      <c r="Z60" s="254"/>
    </row>
    <row r="61" spans="1:54" ht="18.75" customHeight="1" x14ac:dyDescent="0.25">
      <c r="B61" s="81"/>
      <c r="C61" s="17"/>
      <c r="D61" s="17"/>
      <c r="E61" s="17"/>
      <c r="F61" s="17"/>
      <c r="G61" s="17"/>
      <c r="H61" s="17"/>
      <c r="I61" s="17"/>
      <c r="J61" s="17"/>
      <c r="K61" s="17"/>
      <c r="L61" s="5"/>
      <c r="M61" s="5"/>
      <c r="N61" s="5"/>
      <c r="O61" s="5"/>
      <c r="P61" s="5"/>
      <c r="Q61" s="5"/>
    </row>
    <row r="62" spans="1:54" ht="18.75" customHeight="1" x14ac:dyDescent="0.25">
      <c r="B62" s="81" t="s">
        <v>32</v>
      </c>
      <c r="C62" s="17"/>
      <c r="D62" s="17"/>
      <c r="E62" s="17"/>
      <c r="F62" s="17"/>
      <c r="G62" s="17"/>
      <c r="H62" s="17"/>
      <c r="I62" s="17"/>
      <c r="J62" s="17"/>
      <c r="K62" s="17"/>
      <c r="L62" s="5"/>
      <c r="M62" s="5"/>
      <c r="N62" s="5"/>
      <c r="O62" s="5"/>
      <c r="P62" s="5"/>
      <c r="Q62" s="5"/>
      <c r="R62" s="5"/>
      <c r="S62" s="5"/>
      <c r="T62" s="5"/>
      <c r="U62" s="5"/>
      <c r="V62" s="5"/>
    </row>
    <row r="63" spans="1:54" ht="18.75" customHeight="1" thickBot="1" x14ac:dyDescent="0.3">
      <c r="B63" s="69" t="s">
        <v>479</v>
      </c>
      <c r="C63" s="70"/>
      <c r="D63" s="70"/>
      <c r="E63" s="70"/>
      <c r="F63" s="70"/>
      <c r="G63" s="70"/>
      <c r="H63" s="70"/>
      <c r="I63" s="70"/>
      <c r="J63" s="70"/>
      <c r="K63" s="70"/>
      <c r="L63" s="70"/>
      <c r="M63" s="70"/>
      <c r="N63" s="74"/>
      <c r="O63" s="70"/>
      <c r="P63" s="70"/>
      <c r="Q63" s="70"/>
      <c r="R63" s="70"/>
      <c r="S63" s="248" t="s">
        <v>476</v>
      </c>
      <c r="T63" s="248"/>
      <c r="U63" s="248"/>
      <c r="V63" s="249"/>
    </row>
    <row r="64" spans="1:54" ht="18.75" customHeight="1" x14ac:dyDescent="0.25">
      <c r="B64" s="71" t="s">
        <v>475</v>
      </c>
      <c r="C64" s="72"/>
      <c r="D64" s="72"/>
      <c r="E64" s="72"/>
      <c r="F64" s="72"/>
      <c r="G64" s="72"/>
      <c r="H64" s="72"/>
      <c r="I64" s="72"/>
      <c r="J64" s="72"/>
      <c r="K64" s="72"/>
      <c r="L64" s="72"/>
      <c r="M64" s="72"/>
      <c r="N64" s="72"/>
      <c r="O64" s="72"/>
      <c r="P64" s="72"/>
      <c r="Q64" s="72"/>
      <c r="R64" s="72"/>
      <c r="S64" s="250"/>
      <c r="T64" s="250"/>
      <c r="U64" s="250"/>
      <c r="V64" s="251"/>
    </row>
    <row r="65" spans="1:56" ht="18.75" customHeight="1" x14ac:dyDescent="0.25">
      <c r="B65" s="71" t="s">
        <v>477</v>
      </c>
      <c r="C65" s="72"/>
      <c r="D65" s="72"/>
      <c r="E65" s="72"/>
      <c r="F65" s="72"/>
      <c r="G65" s="72"/>
      <c r="H65" s="72"/>
      <c r="I65" s="72"/>
      <c r="J65" s="72"/>
      <c r="K65" s="72"/>
      <c r="L65" s="72"/>
      <c r="M65" s="72"/>
      <c r="N65" s="72"/>
      <c r="O65" s="72"/>
      <c r="P65" s="72"/>
      <c r="Q65" s="72"/>
      <c r="R65" s="72"/>
      <c r="S65" s="250"/>
      <c r="T65" s="250"/>
      <c r="U65" s="250"/>
      <c r="V65" s="251"/>
      <c r="X65" s="17"/>
      <c r="BD65" s="32"/>
    </row>
    <row r="66" spans="1:56" ht="18.75" customHeight="1" thickBot="1" x14ac:dyDescent="0.3">
      <c r="B66" s="71" t="s">
        <v>473</v>
      </c>
      <c r="C66" s="72"/>
      <c r="D66" s="72"/>
      <c r="E66" s="72"/>
      <c r="F66" s="72"/>
      <c r="G66" s="72"/>
      <c r="H66" s="72"/>
      <c r="I66" s="72"/>
      <c r="J66" s="72"/>
      <c r="K66" s="72"/>
      <c r="L66" s="72"/>
      <c r="M66" s="72"/>
      <c r="N66" s="72"/>
      <c r="O66" s="72"/>
      <c r="P66" s="72"/>
      <c r="Q66" s="72"/>
      <c r="R66" s="72"/>
      <c r="S66" s="250"/>
      <c r="T66" s="250"/>
      <c r="U66" s="250"/>
      <c r="V66" s="251"/>
      <c r="X66" s="32"/>
    </row>
    <row r="67" spans="1:56" ht="18.75" customHeight="1" thickBot="1" x14ac:dyDescent="0.3">
      <c r="B67" s="73" t="s">
        <v>478</v>
      </c>
      <c r="C67" s="72"/>
      <c r="D67" s="72"/>
      <c r="E67" s="72"/>
      <c r="F67" s="72"/>
      <c r="G67" s="72"/>
      <c r="H67" s="72"/>
      <c r="I67" s="72"/>
      <c r="J67" s="72"/>
      <c r="K67" s="72"/>
      <c r="L67" s="72"/>
      <c r="M67" s="72"/>
      <c r="N67" s="72"/>
      <c r="O67" s="72"/>
      <c r="P67" s="72"/>
      <c r="Q67" s="72"/>
      <c r="R67" s="72"/>
      <c r="S67" s="250"/>
      <c r="T67" s="250"/>
      <c r="U67" s="250"/>
      <c r="V67" s="251"/>
      <c r="X67" s="63"/>
      <c r="AC67" s="63"/>
      <c r="AH67" s="63"/>
      <c r="AM67" s="63"/>
    </row>
    <row r="68" spans="1:56" ht="18.75" customHeight="1" x14ac:dyDescent="0.25">
      <c r="B68" s="71" t="s">
        <v>474</v>
      </c>
      <c r="C68" s="72"/>
      <c r="D68" s="72"/>
      <c r="E68" s="72"/>
      <c r="F68" s="72"/>
      <c r="G68" s="72"/>
      <c r="H68" s="72"/>
      <c r="I68" s="72"/>
      <c r="J68" s="72"/>
      <c r="K68" s="72"/>
      <c r="L68" s="72"/>
      <c r="M68" s="72"/>
      <c r="N68" s="72"/>
      <c r="O68" s="72"/>
      <c r="P68" s="72"/>
      <c r="Q68" s="72"/>
      <c r="R68" s="72"/>
      <c r="S68" s="250"/>
      <c r="T68" s="250"/>
      <c r="U68" s="250"/>
      <c r="V68" s="251"/>
    </row>
    <row r="69" spans="1:56" ht="18.75" customHeight="1" x14ac:dyDescent="0.25">
      <c r="B69" s="71" t="s">
        <v>488</v>
      </c>
      <c r="C69" s="72"/>
      <c r="D69" s="72"/>
      <c r="E69" s="72"/>
      <c r="F69" s="72"/>
      <c r="G69" s="72"/>
      <c r="H69" s="72"/>
      <c r="I69" s="72"/>
      <c r="J69" s="72"/>
      <c r="K69" s="72"/>
      <c r="L69" s="72"/>
      <c r="M69" s="72"/>
      <c r="N69" s="72"/>
      <c r="O69" s="72"/>
      <c r="P69" s="72"/>
      <c r="Q69" s="72"/>
      <c r="R69" s="72"/>
      <c r="S69" s="250"/>
      <c r="T69" s="250"/>
      <c r="U69" s="250"/>
      <c r="V69" s="251"/>
    </row>
    <row r="70" spans="1:56" ht="18.75" customHeight="1" x14ac:dyDescent="0.25">
      <c r="B70" s="73" t="s">
        <v>489</v>
      </c>
      <c r="C70" s="72"/>
      <c r="D70" s="72"/>
      <c r="E70" s="72"/>
      <c r="F70" s="72"/>
      <c r="G70" s="72"/>
      <c r="H70" s="72"/>
      <c r="I70" s="72"/>
      <c r="J70" s="72"/>
      <c r="K70" s="72"/>
      <c r="L70" s="72"/>
      <c r="M70" s="72"/>
      <c r="N70" s="72"/>
      <c r="O70" s="72"/>
      <c r="P70" s="72"/>
      <c r="Q70" s="72"/>
      <c r="R70" s="72"/>
      <c r="S70" s="250"/>
      <c r="T70" s="250"/>
      <c r="U70" s="250"/>
      <c r="V70" s="251"/>
    </row>
    <row r="71" spans="1:56" ht="18.75" customHeight="1" x14ac:dyDescent="0.25">
      <c r="B71" s="75" t="s">
        <v>490</v>
      </c>
      <c r="C71" s="62"/>
      <c r="D71" s="62"/>
      <c r="E71" s="62"/>
      <c r="F71" s="62"/>
      <c r="G71" s="62"/>
      <c r="H71" s="62"/>
      <c r="I71" s="62"/>
      <c r="J71" s="62"/>
      <c r="K71" s="62"/>
      <c r="L71" s="62"/>
      <c r="M71" s="62"/>
      <c r="N71" s="62"/>
      <c r="O71" s="62"/>
      <c r="P71" s="62"/>
      <c r="Q71" s="62"/>
      <c r="R71" s="62"/>
      <c r="S71" s="62"/>
      <c r="T71" s="62"/>
      <c r="U71" s="62"/>
      <c r="V71" s="76"/>
    </row>
    <row r="72" spans="1:56" ht="18.75" customHeight="1" thickBot="1" x14ac:dyDescent="0.3">
      <c r="B72" s="138" t="s">
        <v>689</v>
      </c>
      <c r="W72" s="32"/>
      <c r="X72" s="32"/>
      <c r="Y72" s="32"/>
      <c r="Z72" s="32"/>
      <c r="AA72" s="32"/>
      <c r="AB72" s="32"/>
      <c r="AC72" s="32"/>
      <c r="AD72" s="32"/>
      <c r="AE72" s="32"/>
      <c r="AF72" s="32"/>
      <c r="AG72" s="32"/>
      <c r="AH72" s="32"/>
      <c r="AI72" s="32"/>
      <c r="AJ72" s="32"/>
      <c r="AK72" s="32"/>
      <c r="AL72" s="32"/>
    </row>
    <row r="73" spans="1:56" ht="18.75" customHeight="1" thickBot="1" x14ac:dyDescent="0.3">
      <c r="B73" s="280" t="s">
        <v>410</v>
      </c>
      <c r="C73" s="281"/>
      <c r="D73" s="281"/>
      <c r="E73" s="281"/>
      <c r="F73" s="281"/>
      <c r="G73" s="281"/>
      <c r="H73" s="281"/>
      <c r="I73" s="281"/>
      <c r="J73" s="281"/>
      <c r="K73" s="281"/>
      <c r="L73" s="281"/>
      <c r="M73" s="281"/>
      <c r="N73" s="281"/>
      <c r="O73" s="281"/>
      <c r="P73" s="282"/>
      <c r="R73" s="277" t="str">
        <f ca="1">IFERROR(IF(R58*J10&lt;(0.7*$R$60),R58*J10,0.7*$R$60),"")</f>
        <v/>
      </c>
      <c r="S73" s="278"/>
      <c r="T73" s="278"/>
      <c r="U73" s="278"/>
      <c r="V73" s="278"/>
      <c r="W73" s="278"/>
      <c r="X73" s="278"/>
      <c r="Y73" s="278"/>
      <c r="Z73" s="279"/>
      <c r="AA73" s="32"/>
      <c r="AB73" s="32"/>
      <c r="AC73" s="32"/>
      <c r="AD73" s="32"/>
      <c r="AE73" s="32"/>
      <c r="AF73" s="32"/>
      <c r="AG73" s="32"/>
      <c r="AH73" s="32"/>
      <c r="AI73" s="32"/>
      <c r="AJ73" s="32"/>
      <c r="AK73" s="32"/>
      <c r="AL73" s="32"/>
    </row>
    <row r="74" spans="1:56" ht="18.75" customHeight="1" thickBot="1" x14ac:dyDescent="0.3">
      <c r="B74" s="280" t="s">
        <v>411</v>
      </c>
      <c r="C74" s="281"/>
      <c r="D74" s="281"/>
      <c r="E74" s="281"/>
      <c r="F74" s="281"/>
      <c r="G74" s="281"/>
      <c r="H74" s="281"/>
      <c r="I74" s="281"/>
      <c r="J74" s="281"/>
      <c r="K74" s="281"/>
      <c r="L74" s="281"/>
      <c r="M74" s="281"/>
      <c r="N74" s="281"/>
      <c r="O74" s="281"/>
      <c r="P74" s="282"/>
      <c r="R74" s="277" t="str">
        <f ca="1">IFERROR(R73*Summary!$M$18,"")</f>
        <v/>
      </c>
      <c r="S74" s="278"/>
      <c r="T74" s="278"/>
      <c r="U74" s="278"/>
      <c r="V74" s="278"/>
      <c r="W74" s="278"/>
      <c r="X74" s="278"/>
      <c r="Y74" s="278"/>
      <c r="Z74" s="279"/>
      <c r="AO74" s="17"/>
    </row>
    <row r="75" spans="1:56" ht="18.75" customHeight="1" thickBot="1" x14ac:dyDescent="0.3">
      <c r="B75" s="280" t="s">
        <v>412</v>
      </c>
      <c r="C75" s="281"/>
      <c r="D75" s="281"/>
      <c r="E75" s="281"/>
      <c r="F75" s="281"/>
      <c r="G75" s="281"/>
      <c r="H75" s="281"/>
      <c r="I75" s="281"/>
      <c r="J75" s="281"/>
      <c r="K75" s="281"/>
      <c r="L75" s="281"/>
      <c r="M75" s="281"/>
      <c r="N75" s="281"/>
      <c r="O75" s="281"/>
      <c r="P75" s="282"/>
      <c r="R75" s="277" t="str">
        <f ca="1">IFERROR(R73*Summary!$M$19,"")</f>
        <v/>
      </c>
      <c r="S75" s="278"/>
      <c r="T75" s="278"/>
      <c r="U75" s="278"/>
      <c r="V75" s="278"/>
      <c r="W75" s="278"/>
      <c r="X75" s="278"/>
      <c r="Y75" s="278"/>
      <c r="Z75" s="279"/>
      <c r="AQ75" s="17"/>
    </row>
    <row r="76" spans="1:56" ht="18.75" customHeight="1" x14ac:dyDescent="0.25">
      <c r="B76" s="78"/>
      <c r="C76" s="78"/>
      <c r="D76" s="78"/>
      <c r="E76" s="78"/>
      <c r="F76" s="78"/>
      <c r="G76" s="78"/>
      <c r="H76" s="78"/>
      <c r="I76" s="78"/>
      <c r="J76" s="78"/>
      <c r="K76" s="78"/>
      <c r="L76" s="78"/>
      <c r="M76" s="78"/>
      <c r="N76" s="78"/>
      <c r="O76" s="78"/>
      <c r="P76" s="78"/>
      <c r="AQ76" s="17"/>
    </row>
    <row r="77" spans="1:56" ht="18.75" customHeight="1" x14ac:dyDescent="0.25">
      <c r="A77" s="68" t="s">
        <v>484</v>
      </c>
    </row>
  </sheetData>
  <sheetProtection password="BD7D" sheet="1" scenarios="1"/>
  <mergeCells count="135">
    <mergeCell ref="AB43:AK46"/>
    <mergeCell ref="AB57:AE57"/>
    <mergeCell ref="AB58:AE58"/>
    <mergeCell ref="R25:U25"/>
    <mergeCell ref="R58:Z58"/>
    <mergeCell ref="W33:Z33"/>
    <mergeCell ref="W50:Z50"/>
    <mergeCell ref="W51:Z51"/>
    <mergeCell ref="R51:U51"/>
    <mergeCell ref="R49:U49"/>
    <mergeCell ref="W49:Z49"/>
    <mergeCell ref="R41:U41"/>
    <mergeCell ref="R50:U50"/>
    <mergeCell ref="W34:Z34"/>
    <mergeCell ref="W32:Z32"/>
    <mergeCell ref="R55:U55"/>
    <mergeCell ref="R34:U34"/>
    <mergeCell ref="R27:U27"/>
    <mergeCell ref="R29:U29"/>
    <mergeCell ref="W37:Z37"/>
    <mergeCell ref="W38:Z38"/>
    <mergeCell ref="W40:Z40"/>
    <mergeCell ref="W29:Z29"/>
    <mergeCell ref="W36:Z36"/>
    <mergeCell ref="AB19:AK21"/>
    <mergeCell ref="AB23:AK27"/>
    <mergeCell ref="B18:P18"/>
    <mergeCell ref="B19:P19"/>
    <mergeCell ref="W16:Z16"/>
    <mergeCell ref="W17:Z17"/>
    <mergeCell ref="W21:Z21"/>
    <mergeCell ref="W19:Z19"/>
    <mergeCell ref="W23:Z23"/>
    <mergeCell ref="W20:Z20"/>
    <mergeCell ref="B24:P24"/>
    <mergeCell ref="B25:P25"/>
    <mergeCell ref="R20:U20"/>
    <mergeCell ref="R21:U21"/>
    <mergeCell ref="R23:U23"/>
    <mergeCell ref="B21:P21"/>
    <mergeCell ref="B23:P23"/>
    <mergeCell ref="B27:P27"/>
    <mergeCell ref="R17:U17"/>
    <mergeCell ref="R18:U18"/>
    <mergeCell ref="W27:Z27"/>
    <mergeCell ref="W24:Z24"/>
    <mergeCell ref="W25:Z25"/>
    <mergeCell ref="R24:U24"/>
    <mergeCell ref="B8:G8"/>
    <mergeCell ref="B20:P20"/>
    <mergeCell ref="B29:P29"/>
    <mergeCell ref="R32:U32"/>
    <mergeCell ref="R53:Z53"/>
    <mergeCell ref="B31:P31"/>
    <mergeCell ref="J45:L46"/>
    <mergeCell ref="J47:L47"/>
    <mergeCell ref="J48:L48"/>
    <mergeCell ref="J49:L49"/>
    <mergeCell ref="B47:H47"/>
    <mergeCell ref="B48:H48"/>
    <mergeCell ref="B49:H49"/>
    <mergeCell ref="N48:P48"/>
    <mergeCell ref="N49:P49"/>
    <mergeCell ref="R31:U31"/>
    <mergeCell ref="R40:U40"/>
    <mergeCell ref="B32:P32"/>
    <mergeCell ref="R36:U36"/>
    <mergeCell ref="R37:U37"/>
    <mergeCell ref="B30:P30"/>
    <mergeCell ref="B36:P36"/>
    <mergeCell ref="AB2:AH2"/>
    <mergeCell ref="AB3:AH3"/>
    <mergeCell ref="AB4:AH4"/>
    <mergeCell ref="R14:U15"/>
    <mergeCell ref="R19:U19"/>
    <mergeCell ref="B16:P16"/>
    <mergeCell ref="B17:P17"/>
    <mergeCell ref="W18:Z18"/>
    <mergeCell ref="B4:G4"/>
    <mergeCell ref="B5:G5"/>
    <mergeCell ref="B6:G6"/>
    <mergeCell ref="B7:G7"/>
    <mergeCell ref="W14:Z15"/>
    <mergeCell ref="B12:U12"/>
    <mergeCell ref="B15:P15"/>
    <mergeCell ref="B10:I10"/>
    <mergeCell ref="H4:Z4"/>
    <mergeCell ref="H5:Z5"/>
    <mergeCell ref="H6:Z6"/>
    <mergeCell ref="H7:Z7"/>
    <mergeCell ref="H8:Z8"/>
    <mergeCell ref="J10:Z10"/>
    <mergeCell ref="W12:Z12"/>
    <mergeCell ref="R16:U16"/>
    <mergeCell ref="R75:Z75"/>
    <mergeCell ref="B75:P75"/>
    <mergeCell ref="B73:P73"/>
    <mergeCell ref="B74:P74"/>
    <mergeCell ref="R57:Z57"/>
    <mergeCell ref="B58:P58"/>
    <mergeCell ref="R74:Z74"/>
    <mergeCell ref="B43:L43"/>
    <mergeCell ref="B40:P40"/>
    <mergeCell ref="B57:P57"/>
    <mergeCell ref="R73:Z73"/>
    <mergeCell ref="B60:P60"/>
    <mergeCell ref="N50:P50"/>
    <mergeCell ref="N51:P51"/>
    <mergeCell ref="N53:P53"/>
    <mergeCell ref="B41:P41"/>
    <mergeCell ref="W55:Z55"/>
    <mergeCell ref="W41:Z41"/>
    <mergeCell ref="W47:Z47"/>
    <mergeCell ref="W48:Z48"/>
    <mergeCell ref="B55:P55"/>
    <mergeCell ref="J50:L50"/>
    <mergeCell ref="J51:L51"/>
    <mergeCell ref="R47:U47"/>
    <mergeCell ref="S63:V70"/>
    <mergeCell ref="R60:Z60"/>
    <mergeCell ref="R30:U30"/>
    <mergeCell ref="B37:P37"/>
    <mergeCell ref="B38:P38"/>
    <mergeCell ref="B33:P33"/>
    <mergeCell ref="B34:P34"/>
    <mergeCell ref="W30:Z30"/>
    <mergeCell ref="R38:U38"/>
    <mergeCell ref="B50:H50"/>
    <mergeCell ref="B51:H51"/>
    <mergeCell ref="R43:U43"/>
    <mergeCell ref="N45:P46"/>
    <mergeCell ref="R48:U48"/>
    <mergeCell ref="J53:L53"/>
    <mergeCell ref="N47:P47"/>
    <mergeCell ref="R33:U33"/>
  </mergeCells>
  <conditionalFormatting sqref="W12:Z12 R60 H5:H8">
    <cfRule type="expression" dxfId="334" priority="174">
      <formula>IF(OR(H5="--Select--",ISBLANK(H5)),TRUE,FALSE)</formula>
    </cfRule>
  </conditionalFormatting>
  <conditionalFormatting sqref="R20:U20 R18:U18">
    <cfRule type="expression" dxfId="333" priority="169">
      <formula>IF(OR(R18="--Select--",ISBLANK(R18)),TRUE,FALSE)</formula>
    </cfRule>
  </conditionalFormatting>
  <conditionalFormatting sqref="R27:U27">
    <cfRule type="expression" dxfId="332" priority="168">
      <formula>IF(OR(R27="--Select--",ISBLANK(R27)),TRUE,FALSE)</formula>
    </cfRule>
  </conditionalFormatting>
  <conditionalFormatting sqref="R29:U30">
    <cfRule type="expression" dxfId="331" priority="92">
      <formula>IF(OR(R29="--Select--",ISBLANK(R29)),TRUE,FALSE)</formula>
    </cfRule>
  </conditionalFormatting>
  <conditionalFormatting sqref="R32:U32">
    <cfRule type="expression" dxfId="330" priority="91">
      <formula>IF(OR(R32="--Select--",ISBLANK(R32)),TRUE,FALSE)</formula>
    </cfRule>
  </conditionalFormatting>
  <conditionalFormatting sqref="R36:U36">
    <cfRule type="expression" dxfId="329" priority="90">
      <formula>IF(OR(R36="--Select--",ISBLANK(R36)),TRUE,FALSE)</formula>
    </cfRule>
  </conditionalFormatting>
  <conditionalFormatting sqref="R37:U37">
    <cfRule type="expression" dxfId="328" priority="88">
      <formula>IF(R36="--Select--",TRUE,FALSE)</formula>
    </cfRule>
    <cfRule type="expression" dxfId="327" priority="89">
      <formula>IF(OR(R37="--Select--",ISBLANK(R36)),TRUE,FALSE)</formula>
    </cfRule>
  </conditionalFormatting>
  <conditionalFormatting sqref="W27:Z27">
    <cfRule type="expression" dxfId="326" priority="86">
      <formula>IF(OR(W27="--Select--",ISBLANK(W27)),TRUE,FALSE)</formula>
    </cfRule>
  </conditionalFormatting>
  <conditionalFormatting sqref="W29:Z30">
    <cfRule type="expression" dxfId="325" priority="85">
      <formula>IF(OR(W29="--Select--",ISBLANK(W29)),TRUE,FALSE)</formula>
    </cfRule>
  </conditionalFormatting>
  <conditionalFormatting sqref="W32:Z32">
    <cfRule type="expression" dxfId="324" priority="84">
      <formula>IF(OR(W32="--Select--",ISBLANK(W32)),TRUE,FALSE)</formula>
    </cfRule>
  </conditionalFormatting>
  <conditionalFormatting sqref="W36:Z36">
    <cfRule type="expression" dxfId="323" priority="81">
      <formula>IF(OR(W36="--Select--",ISBLANK(W36)),TRUE,FALSE)</formula>
    </cfRule>
  </conditionalFormatting>
  <conditionalFormatting sqref="W33:Z33">
    <cfRule type="expression" dxfId="322" priority="79">
      <formula>IF(W32="--Select--",TRUE,FALSE)</formula>
    </cfRule>
    <cfRule type="expression" dxfId="321" priority="80">
      <formula>IF(OR(W33="--Select--",ISBLANK(W32)),TRUE,FALSE)</formula>
    </cfRule>
  </conditionalFormatting>
  <conditionalFormatting sqref="W37:Z37">
    <cfRule type="expression" dxfId="320" priority="77">
      <formula>IF(W36="--Select--",TRUE,FALSE)</formula>
    </cfRule>
    <cfRule type="expression" dxfId="319" priority="78">
      <formula>IF(OR(W37="--Select--",ISBLANK(W36)),TRUE,FALSE)</formula>
    </cfRule>
  </conditionalFormatting>
  <conditionalFormatting sqref="H4">
    <cfRule type="expression" dxfId="318" priority="76">
      <formula>IF(OR(H4="--Select--",ISBLANK(H4)),TRUE,FALSE)</formula>
    </cfRule>
  </conditionalFormatting>
  <conditionalFormatting sqref="J47">
    <cfRule type="expression" dxfId="317" priority="704">
      <formula>IF(ISBLANK(J47),TRUE,FALSE)</formula>
    </cfRule>
  </conditionalFormatting>
  <conditionalFormatting sqref="J48">
    <cfRule type="expression" dxfId="316" priority="185">
      <formula>IF(ISBLANK(J48),TRUE,FALSE)</formula>
    </cfRule>
  </conditionalFormatting>
  <conditionalFormatting sqref="J49">
    <cfRule type="expression" dxfId="315" priority="75">
      <formula>IF(ISBLANK(J49),TRUE,FALSE)</formula>
    </cfRule>
  </conditionalFormatting>
  <conditionalFormatting sqref="J50">
    <cfRule type="expression" dxfId="314" priority="74">
      <formula>IF(ISBLANK(J50),TRUE,FALSE)</formula>
    </cfRule>
  </conditionalFormatting>
  <conditionalFormatting sqref="N47:N50">
    <cfRule type="expression" dxfId="313" priority="72">
      <formula>IF(ISBLANK(N47),TRUE,FALSE)</formula>
    </cfRule>
  </conditionalFormatting>
  <conditionalFormatting sqref="N48:N50">
    <cfRule type="expression" dxfId="312" priority="67">
      <formula>IF(ISBLANK(N48),TRUE,FALSE)</formula>
    </cfRule>
  </conditionalFormatting>
  <conditionalFormatting sqref="N49">
    <cfRule type="expression" dxfId="311" priority="66">
      <formula>IF(ISBLANK(N49),TRUE,FALSE)</formula>
    </cfRule>
  </conditionalFormatting>
  <conditionalFormatting sqref="N47:N50">
    <cfRule type="expression" dxfId="310" priority="65">
      <formula>IF(ISBLANK(N47),TRUE,FALSE)</formula>
    </cfRule>
  </conditionalFormatting>
  <conditionalFormatting sqref="J10">
    <cfRule type="expression" dxfId="309" priority="63">
      <formula>IF(OR(J10="--Select--",ISBLANK(J10)),TRUE,FALSE)</formula>
    </cfRule>
  </conditionalFormatting>
  <conditionalFormatting sqref="R33:U33">
    <cfRule type="expression" dxfId="308" priority="61">
      <formula>IF(R32="--Select--",TRUE,FALSE)</formula>
    </cfRule>
    <cfRule type="expression" dxfId="307" priority="62">
      <formula>IF(OR(R33="--Select--",ISBLANK(R32)),TRUE,FALSE)</formula>
    </cfRule>
  </conditionalFormatting>
  <conditionalFormatting sqref="R23:U23">
    <cfRule type="expression" dxfId="306" priority="54">
      <formula>IF(OR(R23="--Select--",ISBLANK(R23)),TRUE,FALSE)</formula>
    </cfRule>
  </conditionalFormatting>
  <conditionalFormatting sqref="J45:L51 J53:L53 N53:P53 R53:Z53 N45:P51">
    <cfRule type="expression" dxfId="305" priority="64" stopIfTrue="1">
      <formula>IF($R$43="No",TRUE,FALSE)</formula>
    </cfRule>
  </conditionalFormatting>
  <conditionalFormatting sqref="J51 N51">
    <cfRule type="expression" dxfId="304" priority="864">
      <formula>IF($R$43="No",TRUE,FALSE)</formula>
    </cfRule>
  </conditionalFormatting>
  <conditionalFormatting sqref="R43:U43">
    <cfRule type="expression" dxfId="303" priority="53">
      <formula>IF(OR(R43="--Select--",ISBLANK(R43)),TRUE,FALSE)</formula>
    </cfRule>
  </conditionalFormatting>
  <conditionalFormatting sqref="R19:U19">
    <cfRule type="expression" dxfId="302" priority="52">
      <formula>IF(OR(R19="--Select--",ISBLANK(R19)),TRUE,FALSE)</formula>
    </cfRule>
  </conditionalFormatting>
  <conditionalFormatting sqref="R17:U17">
    <cfRule type="expression" dxfId="301" priority="47">
      <formula>IF(OR(R17="--Select--",ISBLANK(R17)),TRUE,FALSE)</formula>
    </cfRule>
  </conditionalFormatting>
  <conditionalFormatting sqref="W16:Z16">
    <cfRule type="expression" dxfId="300" priority="46">
      <formula>IF(OR(W16="--Select--",ISBLANK(W16)),TRUE,FALSE)</formula>
    </cfRule>
  </conditionalFormatting>
  <dataValidations disablePrompts="1" count="4">
    <dataValidation type="list" allowBlank="1" showInputMessage="1" showErrorMessage="1" sqref="R33:U33">
      <formula1>INDIRECT($R$32)</formula1>
    </dataValidation>
    <dataValidation type="list" allowBlank="1" showInputMessage="1" showErrorMessage="1" sqref="W33:Z33">
      <formula1>INDIRECT($W$32)</formula1>
    </dataValidation>
    <dataValidation type="list" allowBlank="1" showInputMessage="1" showErrorMessage="1" sqref="R37:U37">
      <formula1>INDIRECT($R$36)</formula1>
    </dataValidation>
    <dataValidation type="list" allowBlank="1" showInputMessage="1" showErrorMessage="1" sqref="W37:Z37">
      <formula1>INDIRECT($W$36)</formula1>
    </dataValidation>
  </dataValidations>
  <pageMargins left="0.25" right="0.25" top="0.75" bottom="0.75" header="0.3" footer="0.3"/>
  <pageSetup orientation="portrait" r:id="rId1"/>
  <ignoredErrors>
    <ignoredError sqref="N48:P49 W17:Z23 R19:U19 R21:U21 N47:P47 J50 N50" unlockedFormula="1"/>
  </ignoredErrors>
  <extLst>
    <ext xmlns:x14="http://schemas.microsoft.com/office/spreadsheetml/2009/9/main" uri="{78C0D931-6437-407d-A8EE-F0AAD7539E65}">
      <x14:conditionalFormattings>
        <x14:conditionalFormatting xmlns:xm="http://schemas.microsoft.com/office/excel/2006/main">
          <x14:cfRule type="expression" priority="1" id="{58228E58-84CF-4072-AC5F-593F881E610B}">
            <xm:f>OR(Summary!$P$21="--Select--",Summary!$P$12="--Select--",Summary!$P$12="Transformer Only")</xm:f>
            <x14:dxf>
              <fill>
                <patternFill patternType="solid">
                  <bgColor theme="1"/>
                </patternFill>
              </fill>
            </x14:dxf>
          </x14:cfRule>
          <xm:sqref>A1:XFD1048576</xm:sqref>
        </x14:conditionalFormatting>
      </x14:conditionalFormattings>
    </ext>
    <ext xmlns:x14="http://schemas.microsoft.com/office/spreadsheetml/2009/9/main" uri="{CCE6A557-97BC-4b89-ADB6-D9C93CAAB3DF}">
      <x14:dataValidations xmlns:xm="http://schemas.microsoft.com/office/excel/2006/main" disablePrompts="1" count="5">
        <x14:dataValidation type="list" allowBlank="1" showInputMessage="1" showErrorMessage="1">
          <x14:formula1>
            <xm:f>Lists!$K$2:$K$4</xm:f>
          </x14:formula1>
          <xm:sqref>W12</xm:sqref>
        </x14:dataValidation>
        <x14:dataValidation type="list" allowBlank="1" showInputMessage="1" showErrorMessage="1">
          <x14:formula1>
            <xm:f>Lists!$I$2:$I$5</xm:f>
          </x14:formula1>
          <xm:sqref>R32:U32 W32:Z32 R36:U36 W36:Z36</xm:sqref>
        </x14:dataValidation>
        <x14:dataValidation type="list" allowBlank="1" showInputMessage="1" showErrorMessage="1">
          <x14:formula1>
            <xm:f>Lists!$H$2:$H$4</xm:f>
          </x14:formula1>
          <xm:sqref>R30 W30:Z30</xm:sqref>
        </x14:dataValidation>
        <x14:dataValidation type="list" allowBlank="1" showInputMessage="1" showErrorMessage="1">
          <x14:formula1>
            <xm:f>Lists!$G$2:$G$5</xm:f>
          </x14:formula1>
          <xm:sqref>R29 W29:Z29</xm:sqref>
        </x14:dataValidation>
        <x14:dataValidation type="list" allowBlank="1" showInputMessage="1" showErrorMessage="1">
          <x14:formula1>
            <xm:f>Lists!$K$3:$K$4</xm:f>
          </x14:formula1>
          <xm:sqref>R43:R44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Z77"/>
  <sheetViews>
    <sheetView showGridLines="0" zoomScaleNormal="100" workbookViewId="0">
      <selection activeCell="H4" sqref="H4:Z4"/>
    </sheetView>
  </sheetViews>
  <sheetFormatPr defaultColWidth="3.5703125" defaultRowHeight="18.75" customHeight="1" x14ac:dyDescent="0.25"/>
  <cols>
    <col min="17" max="18" width="3.5703125" customWidth="1"/>
    <col min="23" max="23" width="3.5703125" customWidth="1"/>
    <col min="30" max="30" width="3.5703125" customWidth="1"/>
    <col min="32" max="32" width="3.5703125" customWidth="1"/>
    <col min="34" max="34" width="3.5703125" customWidth="1"/>
    <col min="38" max="39" width="3.5703125" customWidth="1"/>
    <col min="55" max="55" width="4" bestFit="1" customWidth="1"/>
    <col min="57" max="57" width="4" bestFit="1" customWidth="1"/>
    <col min="60" max="60" width="3.5703125" customWidth="1"/>
  </cols>
  <sheetData>
    <row r="1" spans="1:78" ht="18.75" customHeight="1" x14ac:dyDescent="0.3">
      <c r="A1" s="95"/>
      <c r="B1" s="94" t="s">
        <v>540</v>
      </c>
      <c r="C1" s="95"/>
      <c r="D1" s="95"/>
      <c r="E1" s="95"/>
      <c r="F1" s="95"/>
      <c r="G1" s="95"/>
      <c r="H1" s="95"/>
      <c r="I1" s="95"/>
      <c r="J1" s="95"/>
      <c r="K1" s="95"/>
      <c r="L1" s="95"/>
      <c r="M1" s="95"/>
      <c r="N1" s="95"/>
      <c r="O1" s="95"/>
      <c r="P1" s="95"/>
      <c r="Q1" s="95"/>
      <c r="R1" s="95"/>
      <c r="S1" s="95"/>
      <c r="T1" s="95"/>
      <c r="U1" s="95"/>
      <c r="V1" s="95"/>
      <c r="W1" s="95"/>
      <c r="X1" s="95"/>
      <c r="Y1" s="95"/>
      <c r="Z1" s="95"/>
      <c r="AA1" s="95"/>
      <c r="AB1" s="95"/>
      <c r="AC1" s="95"/>
      <c r="AD1" s="95"/>
      <c r="AE1" s="95"/>
      <c r="AF1" s="95"/>
      <c r="AG1" s="95"/>
      <c r="AH1" s="95"/>
      <c r="AI1" s="95"/>
      <c r="AJ1" s="95"/>
      <c r="AK1" s="95"/>
      <c r="AL1" s="95"/>
      <c r="AM1" s="95"/>
      <c r="AN1" s="95"/>
      <c r="AO1" s="95"/>
      <c r="AP1" s="95"/>
      <c r="AQ1" s="95"/>
      <c r="AR1" s="95"/>
      <c r="AS1" s="95"/>
      <c r="AT1" s="95"/>
      <c r="AU1" s="95"/>
      <c r="AV1" s="95"/>
      <c r="AW1" s="95"/>
      <c r="AX1" s="95"/>
      <c r="AY1" s="95"/>
      <c r="AZ1" s="95"/>
      <c r="BA1" s="95"/>
      <c r="BB1" s="95"/>
      <c r="BC1" s="95"/>
      <c r="BD1" s="95"/>
      <c r="BE1" s="95"/>
      <c r="BF1" s="95"/>
      <c r="BG1" s="95"/>
      <c r="BH1" s="95"/>
      <c r="BI1" s="95"/>
      <c r="BJ1" s="95"/>
      <c r="BK1" s="95"/>
      <c r="BL1" s="95"/>
      <c r="BM1" s="95"/>
      <c r="BN1" s="95"/>
      <c r="BO1" s="95"/>
      <c r="BP1" s="95"/>
      <c r="BQ1" s="95"/>
      <c r="BR1" s="95"/>
      <c r="BS1" s="95"/>
      <c r="BT1" s="95"/>
      <c r="BU1" s="95"/>
      <c r="BV1" s="95"/>
      <c r="BW1" s="95"/>
      <c r="BX1" s="95"/>
      <c r="BY1" s="95"/>
      <c r="BZ1" s="95"/>
    </row>
    <row r="2" spans="1:78" ht="18.75" customHeight="1" x14ac:dyDescent="0.25">
      <c r="AB2" s="302" t="s">
        <v>391</v>
      </c>
      <c r="AC2" s="302"/>
      <c r="AD2" s="302"/>
      <c r="AE2" s="302"/>
      <c r="AF2" s="302"/>
      <c r="AG2" s="302"/>
      <c r="AH2" s="302"/>
    </row>
    <row r="3" spans="1:78" ht="18.75" customHeight="1" x14ac:dyDescent="0.25">
      <c r="B3" s="5"/>
      <c r="AB3" s="380" t="s">
        <v>392</v>
      </c>
      <c r="AC3" s="380"/>
      <c r="AD3" s="380"/>
      <c r="AE3" s="380"/>
      <c r="AF3" s="380"/>
      <c r="AG3" s="380"/>
      <c r="AH3" s="380"/>
      <c r="AL3" s="17"/>
    </row>
    <row r="4" spans="1:78" ht="18.75" customHeight="1" x14ac:dyDescent="0.25">
      <c r="B4" s="318" t="s">
        <v>455</v>
      </c>
      <c r="C4" s="319"/>
      <c r="D4" s="319"/>
      <c r="E4" s="319"/>
      <c r="F4" s="319"/>
      <c r="G4" s="320"/>
      <c r="H4" s="172"/>
      <c r="I4" s="172"/>
      <c r="J4" s="172"/>
      <c r="K4" s="172"/>
      <c r="L4" s="172"/>
      <c r="M4" s="172"/>
      <c r="N4" s="172"/>
      <c r="O4" s="172"/>
      <c r="P4" s="172"/>
      <c r="Q4" s="172"/>
      <c r="R4" s="172"/>
      <c r="S4" s="172"/>
      <c r="T4" s="172"/>
      <c r="U4" s="172"/>
      <c r="V4" s="172"/>
      <c r="W4" s="172"/>
      <c r="X4" s="172"/>
      <c r="Y4" s="172"/>
      <c r="Z4" s="172"/>
      <c r="AB4" s="381" t="s">
        <v>393</v>
      </c>
      <c r="AC4" s="381"/>
      <c r="AD4" s="381"/>
      <c r="AE4" s="381"/>
      <c r="AF4" s="381"/>
      <c r="AG4" s="381"/>
      <c r="AH4" s="381"/>
      <c r="AL4" s="17"/>
      <c r="AM4" s="17"/>
      <c r="AN4" s="17"/>
      <c r="AO4" s="17"/>
      <c r="AP4" s="17"/>
      <c r="AQ4" s="17"/>
      <c r="AR4" s="17"/>
      <c r="AS4" s="17"/>
      <c r="AT4" s="17"/>
      <c r="AU4" s="17"/>
      <c r="AV4" s="17"/>
      <c r="AW4" s="17"/>
      <c r="AX4" s="17"/>
      <c r="AY4" s="17"/>
      <c r="AZ4" s="17"/>
      <c r="BA4" s="17"/>
      <c r="BB4" s="17"/>
      <c r="BC4" s="17"/>
      <c r="BD4" s="17"/>
      <c r="BE4" s="17"/>
    </row>
    <row r="5" spans="1:78" ht="18.75" customHeight="1" x14ac:dyDescent="0.25">
      <c r="B5" s="318" t="s">
        <v>67</v>
      </c>
      <c r="C5" s="319"/>
      <c r="D5" s="319"/>
      <c r="E5" s="319"/>
      <c r="F5" s="319"/>
      <c r="G5" s="320"/>
      <c r="H5" s="175"/>
      <c r="I5" s="175"/>
      <c r="J5" s="175"/>
      <c r="K5" s="175"/>
      <c r="L5" s="175"/>
      <c r="M5" s="175"/>
      <c r="N5" s="175"/>
      <c r="O5" s="175"/>
      <c r="P5" s="175"/>
      <c r="Q5" s="175"/>
      <c r="R5" s="175"/>
      <c r="S5" s="175"/>
      <c r="T5" s="175"/>
      <c r="U5" s="175"/>
      <c r="V5" s="175"/>
      <c r="W5" s="175"/>
      <c r="X5" s="175"/>
      <c r="Y5" s="175"/>
      <c r="Z5" s="175"/>
    </row>
    <row r="6" spans="1:78" ht="18.75" customHeight="1" x14ac:dyDescent="0.25">
      <c r="B6" s="318" t="s">
        <v>468</v>
      </c>
      <c r="C6" s="319"/>
      <c r="D6" s="319"/>
      <c r="E6" s="319"/>
      <c r="F6" s="319"/>
      <c r="G6" s="320"/>
      <c r="H6" s="175"/>
      <c r="I6" s="175"/>
      <c r="J6" s="175"/>
      <c r="K6" s="175"/>
      <c r="L6" s="175"/>
      <c r="M6" s="175"/>
      <c r="N6" s="175"/>
      <c r="O6" s="175"/>
      <c r="P6" s="175"/>
      <c r="Q6" s="175"/>
      <c r="R6" s="175"/>
      <c r="S6" s="175"/>
      <c r="T6" s="175"/>
      <c r="U6" s="175"/>
      <c r="V6" s="175"/>
      <c r="W6" s="175"/>
      <c r="X6" s="175"/>
      <c r="Y6" s="175"/>
      <c r="Z6" s="175"/>
    </row>
    <row r="7" spans="1:78" ht="18.75" customHeight="1" x14ac:dyDescent="0.25">
      <c r="B7" s="318" t="s">
        <v>12</v>
      </c>
      <c r="C7" s="319"/>
      <c r="D7" s="319"/>
      <c r="E7" s="319"/>
      <c r="F7" s="319"/>
      <c r="G7" s="320"/>
      <c r="H7" s="175"/>
      <c r="I7" s="175"/>
      <c r="J7" s="175"/>
      <c r="K7" s="175"/>
      <c r="L7" s="175"/>
      <c r="M7" s="175"/>
      <c r="N7" s="175"/>
      <c r="O7" s="175"/>
      <c r="P7" s="175"/>
      <c r="Q7" s="175"/>
      <c r="R7" s="175"/>
      <c r="S7" s="175"/>
      <c r="T7" s="175"/>
      <c r="U7" s="175"/>
      <c r="V7" s="175"/>
      <c r="W7" s="175"/>
      <c r="X7" s="175"/>
      <c r="Y7" s="175"/>
      <c r="Z7" s="175"/>
    </row>
    <row r="8" spans="1:78" ht="18.75" customHeight="1" x14ac:dyDescent="0.25">
      <c r="B8" s="318" t="s">
        <v>13</v>
      </c>
      <c r="C8" s="319"/>
      <c r="D8" s="319"/>
      <c r="E8" s="319"/>
      <c r="F8" s="319"/>
      <c r="G8" s="320"/>
      <c r="H8" s="175"/>
      <c r="I8" s="175"/>
      <c r="J8" s="175"/>
      <c r="K8" s="175"/>
      <c r="L8" s="175"/>
      <c r="M8" s="175"/>
      <c r="N8" s="175"/>
      <c r="O8" s="175"/>
      <c r="P8" s="175"/>
      <c r="Q8" s="175"/>
      <c r="R8" s="175"/>
      <c r="S8" s="175"/>
      <c r="T8" s="175"/>
      <c r="U8" s="175"/>
      <c r="V8" s="175"/>
      <c r="W8" s="175"/>
      <c r="X8" s="175"/>
      <c r="Y8" s="175"/>
      <c r="Z8" s="175"/>
    </row>
    <row r="9" spans="1:78" ht="18.75" customHeight="1" x14ac:dyDescent="0.25">
      <c r="B9" s="153"/>
      <c r="C9" s="152" t="s">
        <v>14</v>
      </c>
      <c r="D9" s="152"/>
      <c r="E9" s="152"/>
      <c r="F9" s="59"/>
      <c r="G9" s="154" t="s">
        <v>15</v>
      </c>
      <c r="H9" s="154"/>
      <c r="I9" s="154"/>
      <c r="J9" s="59"/>
      <c r="K9" s="154" t="s">
        <v>409</v>
      </c>
      <c r="L9" s="154"/>
      <c r="M9" s="154"/>
      <c r="N9" s="154"/>
      <c r="O9" s="154"/>
      <c r="P9" s="154"/>
      <c r="Q9" s="154"/>
      <c r="R9" s="154"/>
      <c r="S9" s="59"/>
      <c r="T9" s="59"/>
      <c r="U9" s="59"/>
      <c r="V9" s="59"/>
      <c r="W9" s="59"/>
      <c r="X9" s="59"/>
      <c r="Y9" s="59"/>
      <c r="Z9" s="156"/>
    </row>
    <row r="10" spans="1:78" ht="18.75" customHeight="1" x14ac:dyDescent="0.25">
      <c r="B10" s="220" t="s">
        <v>480</v>
      </c>
      <c r="C10" s="221"/>
      <c r="D10" s="221"/>
      <c r="E10" s="221"/>
      <c r="F10" s="221"/>
      <c r="G10" s="221"/>
      <c r="H10" s="221"/>
      <c r="I10" s="327"/>
      <c r="J10" s="328" t="str">
        <f ca="1">IF(ISBLANK($H$5),"",OFFSET(Lists!$AI$1,MATCH('RC2'!$G$9,Lists!$AA$2:$AA$4,FALSE),MATCH('RC2'!$H$5,Lists!$AJ$1:$BA$1,1)))</f>
        <v/>
      </c>
      <c r="K10" s="328"/>
      <c r="L10" s="328"/>
      <c r="M10" s="328"/>
      <c r="N10" s="328"/>
      <c r="O10" s="328"/>
      <c r="P10" s="328"/>
      <c r="Q10" s="328"/>
      <c r="R10" s="328"/>
      <c r="S10" s="328"/>
      <c r="T10" s="328"/>
      <c r="U10" s="328"/>
      <c r="V10" s="328"/>
      <c r="W10" s="328"/>
      <c r="X10" s="328"/>
      <c r="Y10" s="328"/>
      <c r="Z10" s="328"/>
      <c r="AA10" s="17"/>
      <c r="AB10" s="17"/>
      <c r="AC10" s="17"/>
      <c r="AD10" s="17"/>
      <c r="AE10" s="17"/>
      <c r="AF10" s="17"/>
      <c r="AG10" s="17"/>
      <c r="AH10" s="17"/>
      <c r="AI10" s="17"/>
      <c r="AJ10" s="17"/>
      <c r="AK10" s="17"/>
      <c r="AL10" s="17"/>
      <c r="AM10" s="17"/>
      <c r="AN10" s="17"/>
      <c r="AO10" s="17"/>
      <c r="AP10" s="17"/>
      <c r="AQ10" s="17"/>
      <c r="AR10" s="17"/>
      <c r="AS10" s="17"/>
      <c r="AT10" s="17"/>
      <c r="AU10" s="17"/>
    </row>
    <row r="11" spans="1:78" ht="18.75" customHeight="1" x14ac:dyDescent="0.25">
      <c r="G11" s="46"/>
      <c r="H11" s="46"/>
      <c r="I11" s="46"/>
      <c r="J11" s="46"/>
      <c r="K11" s="46"/>
      <c r="L11" s="46"/>
      <c r="M11" s="46"/>
      <c r="N11" s="46"/>
      <c r="O11" s="46"/>
      <c r="P11" s="46"/>
      <c r="Q11" s="46"/>
      <c r="R11" s="46"/>
    </row>
    <row r="12" spans="1:78" ht="18.75" customHeight="1" x14ac:dyDescent="0.25">
      <c r="B12" s="321" t="s">
        <v>457</v>
      </c>
      <c r="C12" s="322"/>
      <c r="D12" s="322"/>
      <c r="E12" s="322"/>
      <c r="F12" s="322"/>
      <c r="G12" s="322"/>
      <c r="H12" s="322"/>
      <c r="I12" s="322"/>
      <c r="J12" s="322"/>
      <c r="K12" s="322"/>
      <c r="L12" s="322"/>
      <c r="M12" s="322"/>
      <c r="N12" s="322"/>
      <c r="O12" s="322"/>
      <c r="P12" s="322"/>
      <c r="Q12" s="322"/>
      <c r="R12" s="322"/>
      <c r="S12" s="322"/>
      <c r="T12" s="322"/>
      <c r="U12" s="323"/>
      <c r="W12" s="329" t="s">
        <v>7</v>
      </c>
      <c r="X12" s="329"/>
      <c r="Y12" s="329"/>
      <c r="Z12" s="329"/>
      <c r="AC12" s="17"/>
    </row>
    <row r="13" spans="1:78" ht="18.75" customHeight="1" thickBot="1" x14ac:dyDescent="0.3">
      <c r="A13" s="10"/>
      <c r="B13" s="77" t="str">
        <f>IF($W$12="Yes","**Before continuing, please consult with BPA Technical Staff for assistance**","")</f>
        <v/>
      </c>
      <c r="C13" s="77"/>
      <c r="D13" s="77"/>
      <c r="E13" s="77"/>
      <c r="F13" s="77"/>
      <c r="G13" s="77"/>
      <c r="H13" s="77"/>
      <c r="I13" s="77"/>
      <c r="J13" s="77"/>
      <c r="K13" s="77"/>
      <c r="L13" s="77"/>
      <c r="M13" s="77"/>
      <c r="N13" s="77"/>
      <c r="O13" s="17"/>
      <c r="P13" s="77"/>
      <c r="Q13" s="77"/>
      <c r="AC13" s="17"/>
      <c r="BL13" s="17"/>
      <c r="BM13" s="17"/>
      <c r="BN13" s="17"/>
      <c r="BO13" s="17"/>
      <c r="BP13" s="17"/>
      <c r="BQ13" s="17"/>
      <c r="BR13" s="17"/>
      <c r="BS13" s="17"/>
      <c r="BT13" s="17"/>
      <c r="BU13" s="17"/>
    </row>
    <row r="14" spans="1:78" ht="18.75" customHeight="1" thickBot="1" x14ac:dyDescent="0.3">
      <c r="F14" s="2"/>
      <c r="G14" s="2"/>
      <c r="H14" s="2"/>
      <c r="I14" s="2"/>
      <c r="R14" s="309" t="s">
        <v>22</v>
      </c>
      <c r="S14" s="310"/>
      <c r="T14" s="310"/>
      <c r="U14" s="311"/>
      <c r="W14" s="309" t="s">
        <v>30</v>
      </c>
      <c r="X14" s="310"/>
      <c r="Y14" s="310"/>
      <c r="Z14" s="311"/>
      <c r="BC14" s="17"/>
      <c r="BE14" s="17"/>
      <c r="BF14" s="17"/>
      <c r="BG14" s="17"/>
      <c r="BH14" s="17"/>
      <c r="BI14" s="17"/>
      <c r="BJ14" s="17"/>
      <c r="BK14" s="17"/>
      <c r="BL14" s="17"/>
      <c r="BM14" s="17"/>
      <c r="BN14" s="17"/>
      <c r="BO14" s="17"/>
      <c r="BP14" s="17"/>
      <c r="BQ14" s="17"/>
      <c r="BR14" s="17"/>
      <c r="BS14" s="17"/>
      <c r="BT14" s="17"/>
      <c r="BU14" s="17"/>
    </row>
    <row r="15" spans="1:78" ht="18.75" customHeight="1" thickBot="1" x14ac:dyDescent="0.3">
      <c r="B15" s="324" t="s">
        <v>524</v>
      </c>
      <c r="C15" s="325"/>
      <c r="D15" s="325"/>
      <c r="E15" s="325"/>
      <c r="F15" s="325"/>
      <c r="G15" s="325"/>
      <c r="H15" s="325"/>
      <c r="I15" s="325"/>
      <c r="J15" s="325"/>
      <c r="K15" s="325"/>
      <c r="L15" s="325"/>
      <c r="M15" s="325"/>
      <c r="N15" s="325"/>
      <c r="O15" s="325"/>
      <c r="P15" s="326"/>
      <c r="R15" s="312"/>
      <c r="S15" s="313"/>
      <c r="T15" s="313"/>
      <c r="U15" s="314"/>
      <c r="W15" s="312"/>
      <c r="X15" s="313"/>
      <c r="Y15" s="313"/>
      <c r="Z15" s="314"/>
      <c r="AM15" s="17"/>
      <c r="AN15" s="17"/>
      <c r="AO15" s="17"/>
      <c r="AP15" s="17"/>
      <c r="AQ15" s="17"/>
      <c r="AR15" s="17"/>
      <c r="AS15" s="17"/>
      <c r="AT15" s="17"/>
      <c r="AU15" s="17"/>
      <c r="AV15" s="17"/>
      <c r="AW15" s="17"/>
      <c r="AX15" s="17"/>
      <c r="AY15" s="17"/>
      <c r="AZ15" s="17"/>
      <c r="BA15" s="17"/>
      <c r="BB15" s="17"/>
      <c r="BC15" s="17"/>
      <c r="BD15" s="17"/>
      <c r="BE15" s="17"/>
      <c r="BF15" s="17"/>
    </row>
    <row r="16" spans="1:78" ht="18.75" customHeight="1" x14ac:dyDescent="0.25">
      <c r="B16" s="256" t="s">
        <v>428</v>
      </c>
      <c r="C16" s="256"/>
      <c r="D16" s="256"/>
      <c r="E16" s="256"/>
      <c r="F16" s="256"/>
      <c r="G16" s="256"/>
      <c r="H16" s="256"/>
      <c r="I16" s="256"/>
      <c r="J16" s="256"/>
      <c r="K16" s="256"/>
      <c r="L16" s="256"/>
      <c r="M16" s="256"/>
      <c r="N16" s="256"/>
      <c r="O16" s="256"/>
      <c r="P16" s="256"/>
      <c r="Q16" s="17"/>
      <c r="R16" s="330"/>
      <c r="S16" s="331"/>
      <c r="T16" s="331"/>
      <c r="U16" s="332"/>
      <c r="W16" s="361"/>
      <c r="X16" s="361"/>
      <c r="Y16" s="361"/>
      <c r="Z16" s="361"/>
      <c r="AD16" s="17"/>
      <c r="AW16" s="17"/>
      <c r="AX16" s="17"/>
      <c r="BC16" s="17"/>
      <c r="BD16" s="17"/>
      <c r="BE16" s="17"/>
      <c r="BF16" s="17"/>
    </row>
    <row r="17" spans="1:37" ht="18.75" customHeight="1" x14ac:dyDescent="0.25">
      <c r="B17" s="316" t="s">
        <v>511</v>
      </c>
      <c r="C17" s="316"/>
      <c r="D17" s="316"/>
      <c r="E17" s="316"/>
      <c r="F17" s="316"/>
      <c r="G17" s="316"/>
      <c r="H17" s="316"/>
      <c r="I17" s="316"/>
      <c r="J17" s="316"/>
      <c r="K17" s="316"/>
      <c r="L17" s="316"/>
      <c r="M17" s="316"/>
      <c r="N17" s="316"/>
      <c r="O17" s="316"/>
      <c r="P17" s="316"/>
      <c r="Q17" s="2"/>
      <c r="R17" s="369"/>
      <c r="S17" s="369"/>
      <c r="T17" s="369"/>
      <c r="U17" s="369"/>
      <c r="V17" s="2"/>
      <c r="W17" s="362">
        <f t="shared" ref="W17:W21" si="0">R17</f>
        <v>0</v>
      </c>
      <c r="X17" s="362"/>
      <c r="Y17" s="362"/>
      <c r="Z17" s="362"/>
      <c r="AD17" s="17"/>
    </row>
    <row r="18" spans="1:37" ht="18.75" customHeight="1" x14ac:dyDescent="0.25">
      <c r="B18" s="256" t="s">
        <v>429</v>
      </c>
      <c r="C18" s="256"/>
      <c r="D18" s="256"/>
      <c r="E18" s="256"/>
      <c r="F18" s="256"/>
      <c r="G18" s="256"/>
      <c r="H18" s="256"/>
      <c r="I18" s="256"/>
      <c r="J18" s="256"/>
      <c r="K18" s="256"/>
      <c r="L18" s="256"/>
      <c r="M18" s="256"/>
      <c r="N18" s="256"/>
      <c r="O18" s="256"/>
      <c r="P18" s="256"/>
      <c r="Q18" s="2"/>
      <c r="R18" s="370"/>
      <c r="S18" s="370"/>
      <c r="T18" s="370"/>
      <c r="U18" s="370"/>
      <c r="V18" s="2"/>
      <c r="W18" s="317">
        <f t="shared" si="0"/>
        <v>0</v>
      </c>
      <c r="X18" s="317"/>
      <c r="Y18" s="317"/>
      <c r="Z18" s="317"/>
      <c r="AE18" s="2"/>
    </row>
    <row r="19" spans="1:37" ht="18.75" customHeight="1" x14ac:dyDescent="0.25">
      <c r="B19" s="256" t="s">
        <v>430</v>
      </c>
      <c r="C19" s="256"/>
      <c r="D19" s="256"/>
      <c r="E19" s="256"/>
      <c r="F19" s="256"/>
      <c r="G19" s="256"/>
      <c r="H19" s="256"/>
      <c r="I19" s="256"/>
      <c r="J19" s="256"/>
      <c r="K19" s="256"/>
      <c r="L19" s="256"/>
      <c r="M19" s="256"/>
      <c r="N19" s="256"/>
      <c r="O19" s="256"/>
      <c r="P19" s="256"/>
      <c r="Q19" s="2"/>
      <c r="R19" s="315" t="str">
        <f>IFERROR($R$17/$R$18,"")</f>
        <v/>
      </c>
      <c r="S19" s="315"/>
      <c r="T19" s="315"/>
      <c r="U19" s="315"/>
      <c r="V19" s="7"/>
      <c r="W19" s="363" t="str">
        <f t="shared" si="0"/>
        <v/>
      </c>
      <c r="X19" s="363"/>
      <c r="Y19" s="363"/>
      <c r="Z19" s="363"/>
      <c r="AB19" s="343" t="s">
        <v>670</v>
      </c>
      <c r="AC19" s="344"/>
      <c r="AD19" s="344"/>
      <c r="AE19" s="344"/>
      <c r="AF19" s="344"/>
      <c r="AG19" s="344"/>
      <c r="AH19" s="344"/>
      <c r="AI19" s="344"/>
      <c r="AJ19" s="344"/>
      <c r="AK19" s="345"/>
    </row>
    <row r="20" spans="1:37" ht="18.75" customHeight="1" x14ac:dyDescent="0.25">
      <c r="B20" s="256" t="s">
        <v>512</v>
      </c>
      <c r="C20" s="256"/>
      <c r="D20" s="256"/>
      <c r="E20" s="256"/>
      <c r="F20" s="256"/>
      <c r="G20" s="256"/>
      <c r="H20" s="256"/>
      <c r="I20" s="256"/>
      <c r="J20" s="256"/>
      <c r="K20" s="256"/>
      <c r="L20" s="256"/>
      <c r="M20" s="256"/>
      <c r="N20" s="256"/>
      <c r="O20" s="256"/>
      <c r="P20" s="256"/>
      <c r="Q20" s="2"/>
      <c r="R20" s="365"/>
      <c r="S20" s="366"/>
      <c r="T20" s="366"/>
      <c r="U20" s="367"/>
      <c r="V20" s="61"/>
      <c r="W20" s="363">
        <f t="shared" si="0"/>
        <v>0</v>
      </c>
      <c r="X20" s="363"/>
      <c r="Y20" s="363"/>
      <c r="Z20" s="363"/>
      <c r="AB20" s="346"/>
      <c r="AC20" s="347"/>
      <c r="AD20" s="347"/>
      <c r="AE20" s="347"/>
      <c r="AF20" s="347"/>
      <c r="AG20" s="347"/>
      <c r="AH20" s="347"/>
      <c r="AI20" s="347"/>
      <c r="AJ20" s="347"/>
      <c r="AK20" s="348"/>
    </row>
    <row r="21" spans="1:37" ht="18.75" customHeight="1" x14ac:dyDescent="0.25">
      <c r="B21" s="256" t="s">
        <v>431</v>
      </c>
      <c r="C21" s="256"/>
      <c r="D21" s="256"/>
      <c r="E21" s="256"/>
      <c r="F21" s="256"/>
      <c r="G21" s="256"/>
      <c r="H21" s="256"/>
      <c r="I21" s="256"/>
      <c r="J21" s="256"/>
      <c r="K21" s="256"/>
      <c r="L21" s="256"/>
      <c r="M21" s="256"/>
      <c r="N21" s="256"/>
      <c r="O21" s="256"/>
      <c r="P21" s="256"/>
      <c r="Q21" s="2"/>
      <c r="R21" s="315" t="str">
        <f>IFERROR($R$20/$R$18,"")</f>
        <v/>
      </c>
      <c r="S21" s="315"/>
      <c r="T21" s="315"/>
      <c r="U21" s="315"/>
      <c r="V21" s="7"/>
      <c r="W21" s="363" t="str">
        <f t="shared" si="0"/>
        <v/>
      </c>
      <c r="X21" s="363"/>
      <c r="Y21" s="363"/>
      <c r="Z21" s="363"/>
      <c r="AB21" s="349"/>
      <c r="AC21" s="350"/>
      <c r="AD21" s="350"/>
      <c r="AE21" s="350"/>
      <c r="AF21" s="350"/>
      <c r="AG21" s="350"/>
      <c r="AH21" s="350"/>
      <c r="AI21" s="350"/>
      <c r="AJ21" s="350"/>
      <c r="AK21" s="351"/>
    </row>
    <row r="22" spans="1:37" ht="18.75" customHeight="1" x14ac:dyDescent="0.25">
      <c r="B22" s="2"/>
      <c r="C22" s="2"/>
      <c r="D22" s="2"/>
      <c r="Q22" s="2"/>
      <c r="R22" s="2"/>
      <c r="V22" s="2"/>
      <c r="W22" s="2"/>
      <c r="AB22" s="119"/>
      <c r="AC22" s="119"/>
      <c r="AD22" s="119"/>
      <c r="AE22" s="2"/>
      <c r="AF22" s="17"/>
      <c r="AG22" s="17"/>
      <c r="AH22" s="17"/>
      <c r="AI22" s="17"/>
      <c r="AJ22" s="17"/>
      <c r="AK22" s="119"/>
    </row>
    <row r="23" spans="1:37" ht="18.75" customHeight="1" x14ac:dyDescent="0.25">
      <c r="B23" s="256" t="s">
        <v>432</v>
      </c>
      <c r="C23" s="256"/>
      <c r="D23" s="256"/>
      <c r="E23" s="256"/>
      <c r="F23" s="256"/>
      <c r="G23" s="256"/>
      <c r="H23" s="256"/>
      <c r="I23" s="256"/>
      <c r="J23" s="256"/>
      <c r="K23" s="256"/>
      <c r="L23" s="256"/>
      <c r="M23" s="256"/>
      <c r="N23" s="256"/>
      <c r="O23" s="256"/>
      <c r="P23" s="256"/>
      <c r="Q23" s="2"/>
      <c r="R23" s="368"/>
      <c r="S23" s="368"/>
      <c r="T23" s="368"/>
      <c r="U23" s="368"/>
      <c r="V23" s="82"/>
      <c r="W23" s="364">
        <f>R23</f>
        <v>0</v>
      </c>
      <c r="X23" s="364"/>
      <c r="Y23" s="364"/>
      <c r="Z23" s="364"/>
      <c r="AB23" s="352" t="s">
        <v>669</v>
      </c>
      <c r="AC23" s="353"/>
      <c r="AD23" s="353"/>
      <c r="AE23" s="353"/>
      <c r="AF23" s="353"/>
      <c r="AG23" s="353"/>
      <c r="AH23" s="353"/>
      <c r="AI23" s="353"/>
      <c r="AJ23" s="353"/>
      <c r="AK23" s="354"/>
    </row>
    <row r="24" spans="1:37" ht="18.75" customHeight="1" x14ac:dyDescent="0.25">
      <c r="B24" s="256" t="s">
        <v>470</v>
      </c>
      <c r="C24" s="256"/>
      <c r="D24" s="256"/>
      <c r="E24" s="256"/>
      <c r="F24" s="256"/>
      <c r="G24" s="256"/>
      <c r="H24" s="256"/>
      <c r="I24" s="256"/>
      <c r="J24" s="256"/>
      <c r="K24" s="256"/>
      <c r="L24" s="256"/>
      <c r="M24" s="256"/>
      <c r="N24" s="256"/>
      <c r="O24" s="256"/>
      <c r="P24" s="256"/>
      <c r="Q24" s="2"/>
      <c r="R24" s="372">
        <f>IFERROR(0.85*$R$23^2+0.15*$R$23,"")</f>
        <v>0</v>
      </c>
      <c r="S24" s="372"/>
      <c r="T24" s="372"/>
      <c r="U24" s="372"/>
      <c r="V24" s="2"/>
      <c r="W24" s="372">
        <f>IFERROR(0.85*$W$23^2+0.15*$W$23,"")</f>
        <v>0</v>
      </c>
      <c r="X24" s="372"/>
      <c r="Y24" s="372"/>
      <c r="Z24" s="372"/>
      <c r="AB24" s="355"/>
      <c r="AC24" s="356"/>
      <c r="AD24" s="356"/>
      <c r="AE24" s="356"/>
      <c r="AF24" s="356"/>
      <c r="AG24" s="356"/>
      <c r="AH24" s="356"/>
      <c r="AI24" s="356"/>
      <c r="AJ24" s="356"/>
      <c r="AK24" s="357"/>
    </row>
    <row r="25" spans="1:37" ht="18.75" customHeight="1" x14ac:dyDescent="0.25">
      <c r="B25" s="256" t="s">
        <v>23</v>
      </c>
      <c r="C25" s="256"/>
      <c r="D25" s="256"/>
      <c r="E25" s="256"/>
      <c r="F25" s="256"/>
      <c r="G25" s="256"/>
      <c r="H25" s="256"/>
      <c r="I25" s="256"/>
      <c r="J25" s="256"/>
      <c r="K25" s="256"/>
      <c r="L25" s="256"/>
      <c r="M25" s="256"/>
      <c r="N25" s="256"/>
      <c r="O25" s="256"/>
      <c r="P25" s="256"/>
      <c r="Q25" s="64" t="str">
        <f>IFERROR(R21/R19,"")</f>
        <v/>
      </c>
      <c r="R25" s="372" t="str">
        <f>IFERROR(INDEX('Distribution Factor'!$B$3:$B$53,MATCH($Q$25,'Distribution Factor'!$A$3:$A$53,-1)),"")</f>
        <v/>
      </c>
      <c r="S25" s="372"/>
      <c r="T25" s="372"/>
      <c r="U25" s="372"/>
      <c r="V25" s="65" t="str">
        <f>IFERROR(W21/W19,"")</f>
        <v/>
      </c>
      <c r="W25" s="372" t="str">
        <f>IFERROR(INDEX('Distribution Factor'!$B$3:$B$53,MATCH($V$25,'Distribution Factor'!$A$3:$A$53,-1)),"")</f>
        <v/>
      </c>
      <c r="X25" s="372"/>
      <c r="Y25" s="372"/>
      <c r="Z25" s="372"/>
      <c r="AB25" s="355"/>
      <c r="AC25" s="356"/>
      <c r="AD25" s="356"/>
      <c r="AE25" s="356"/>
      <c r="AF25" s="356"/>
      <c r="AG25" s="356"/>
      <c r="AH25" s="356"/>
      <c r="AI25" s="356"/>
      <c r="AJ25" s="356"/>
      <c r="AK25" s="357"/>
    </row>
    <row r="26" spans="1:37" ht="18.75" customHeight="1" x14ac:dyDescent="0.25">
      <c r="B26" s="36"/>
      <c r="C26" s="36"/>
      <c r="D26" s="36"/>
      <c r="E26" s="36"/>
      <c r="F26" s="36"/>
      <c r="G26" s="36"/>
      <c r="H26" s="36"/>
      <c r="I26" s="36"/>
      <c r="J26" s="36"/>
      <c r="K26" s="36"/>
      <c r="L26" s="36"/>
      <c r="M26" s="35"/>
      <c r="N26" s="35"/>
      <c r="O26" s="35"/>
      <c r="P26" s="35"/>
      <c r="Q26" s="2"/>
      <c r="R26" s="2"/>
      <c r="V26" s="2"/>
      <c r="W26" s="2"/>
      <c r="AB26" s="355"/>
      <c r="AC26" s="356"/>
      <c r="AD26" s="356"/>
      <c r="AE26" s="356"/>
      <c r="AF26" s="356"/>
      <c r="AG26" s="356"/>
      <c r="AH26" s="356"/>
      <c r="AI26" s="356"/>
      <c r="AJ26" s="356"/>
      <c r="AK26" s="357"/>
    </row>
    <row r="27" spans="1:37" ht="18.75" customHeight="1" x14ac:dyDescent="0.25">
      <c r="B27" s="256" t="s">
        <v>433</v>
      </c>
      <c r="C27" s="256"/>
      <c r="D27" s="256"/>
      <c r="E27" s="256"/>
      <c r="F27" s="256"/>
      <c r="G27" s="256"/>
      <c r="H27" s="256"/>
      <c r="I27" s="256"/>
      <c r="J27" s="256"/>
      <c r="K27" s="256"/>
      <c r="L27" s="256"/>
      <c r="M27" s="256"/>
      <c r="N27" s="256"/>
      <c r="O27" s="256"/>
      <c r="P27" s="256"/>
      <c r="Q27" s="2"/>
      <c r="R27" s="371"/>
      <c r="S27" s="371"/>
      <c r="T27" s="371"/>
      <c r="U27" s="371"/>
      <c r="V27" s="2"/>
      <c r="W27" s="371"/>
      <c r="X27" s="371"/>
      <c r="Y27" s="371"/>
      <c r="Z27" s="371"/>
      <c r="AB27" s="358"/>
      <c r="AC27" s="359"/>
      <c r="AD27" s="359"/>
      <c r="AE27" s="359"/>
      <c r="AF27" s="359"/>
      <c r="AG27" s="359"/>
      <c r="AH27" s="359"/>
      <c r="AI27" s="359"/>
      <c r="AJ27" s="359"/>
      <c r="AK27" s="360"/>
    </row>
    <row r="28" spans="1:37" ht="18.75" customHeight="1" x14ac:dyDescent="0.25">
      <c r="B28" s="2"/>
      <c r="C28" s="2"/>
      <c r="D28" s="2"/>
      <c r="Q28" s="2"/>
      <c r="R28" s="2"/>
      <c r="V28" s="2"/>
      <c r="W28" s="2"/>
      <c r="AB28" s="119"/>
      <c r="AC28" s="119"/>
      <c r="AD28" s="119"/>
      <c r="AE28" s="2"/>
      <c r="AF28" s="119"/>
      <c r="AG28" s="119"/>
      <c r="AH28" s="119"/>
      <c r="AI28" s="119"/>
      <c r="AJ28" s="119"/>
      <c r="AK28" s="119"/>
    </row>
    <row r="29" spans="1:37" ht="18.75" customHeight="1" x14ac:dyDescent="0.25">
      <c r="B29" s="256" t="s">
        <v>24</v>
      </c>
      <c r="C29" s="256"/>
      <c r="D29" s="256"/>
      <c r="E29" s="256"/>
      <c r="F29" s="256"/>
      <c r="G29" s="256"/>
      <c r="H29" s="256"/>
      <c r="I29" s="256"/>
      <c r="J29" s="256"/>
      <c r="K29" s="256"/>
      <c r="L29" s="256"/>
      <c r="M29" s="256"/>
      <c r="N29" s="256"/>
      <c r="O29" s="256"/>
      <c r="P29" s="256"/>
      <c r="Q29" s="2"/>
      <c r="R29" s="255" t="s">
        <v>3</v>
      </c>
      <c r="S29" s="255"/>
      <c r="T29" s="255"/>
      <c r="U29" s="255"/>
      <c r="V29" s="2"/>
      <c r="W29" s="255" t="s">
        <v>3</v>
      </c>
      <c r="X29" s="255"/>
      <c r="Y29" s="255"/>
      <c r="Z29" s="255"/>
      <c r="AB29" s="119"/>
      <c r="AC29" s="119"/>
      <c r="AD29" s="119"/>
      <c r="AE29" s="2"/>
      <c r="AF29" s="119"/>
      <c r="AG29" s="119"/>
      <c r="AH29" s="119"/>
      <c r="AI29" s="119"/>
      <c r="AJ29" s="119"/>
      <c r="AK29" s="119"/>
    </row>
    <row r="30" spans="1:37" ht="18.75" customHeight="1" x14ac:dyDescent="0.25">
      <c r="B30" s="256" t="s">
        <v>25</v>
      </c>
      <c r="C30" s="256"/>
      <c r="D30" s="256"/>
      <c r="E30" s="256"/>
      <c r="F30" s="256"/>
      <c r="G30" s="256"/>
      <c r="H30" s="256"/>
      <c r="I30" s="256"/>
      <c r="J30" s="256"/>
      <c r="K30" s="256"/>
      <c r="L30" s="256"/>
      <c r="M30" s="256"/>
      <c r="N30" s="256"/>
      <c r="O30" s="256"/>
      <c r="P30" s="256"/>
      <c r="Q30" s="2"/>
      <c r="R30" s="255" t="s">
        <v>3</v>
      </c>
      <c r="S30" s="255"/>
      <c r="T30" s="255"/>
      <c r="U30" s="255"/>
      <c r="V30" s="2"/>
      <c r="W30" s="255" t="s">
        <v>3</v>
      </c>
      <c r="X30" s="255"/>
      <c r="Y30" s="255"/>
      <c r="Z30" s="255"/>
      <c r="AB30" s="119"/>
      <c r="AC30" s="119"/>
      <c r="AD30" s="17"/>
      <c r="AE30" s="2"/>
      <c r="AF30" s="119"/>
      <c r="AG30" s="119"/>
      <c r="AH30" s="119"/>
      <c r="AI30" s="119"/>
      <c r="AJ30" s="119"/>
      <c r="AK30" s="119"/>
    </row>
    <row r="31" spans="1:37" ht="18.75" customHeight="1" x14ac:dyDescent="0.25">
      <c r="A31" s="10"/>
      <c r="B31" s="336" t="str">
        <f>IFERROR(IF(OR($R$29+$R$30&lt;2,$W$29+$W$30&lt;2),"**Phase plus neutral conductors must add to 2 or more**",""),"")</f>
        <v/>
      </c>
      <c r="C31" s="336"/>
      <c r="D31" s="336"/>
      <c r="E31" s="336"/>
      <c r="F31" s="336"/>
      <c r="G31" s="336"/>
      <c r="H31" s="336"/>
      <c r="I31" s="336"/>
      <c r="J31" s="336"/>
      <c r="K31" s="336"/>
      <c r="L31" s="336"/>
      <c r="M31" s="336"/>
      <c r="N31" s="336"/>
      <c r="O31" s="336"/>
      <c r="P31" s="336"/>
      <c r="Q31" s="2"/>
      <c r="R31" s="340"/>
      <c r="S31" s="341"/>
      <c r="T31" s="341"/>
      <c r="U31" s="342"/>
      <c r="V31" s="2"/>
      <c r="W31" s="2"/>
      <c r="AB31" s="119"/>
      <c r="AC31" s="119"/>
      <c r="AD31" s="119"/>
      <c r="AE31" s="2"/>
      <c r="AF31" s="119"/>
      <c r="AG31" s="119"/>
      <c r="AH31" s="119"/>
      <c r="AI31" s="119"/>
      <c r="AJ31" s="119"/>
      <c r="AK31" s="119"/>
    </row>
    <row r="32" spans="1:37" ht="18.75" customHeight="1" x14ac:dyDescent="0.25">
      <c r="B32" s="256" t="s">
        <v>27</v>
      </c>
      <c r="C32" s="256"/>
      <c r="D32" s="256"/>
      <c r="E32" s="256"/>
      <c r="F32" s="256"/>
      <c r="G32" s="256"/>
      <c r="H32" s="256"/>
      <c r="I32" s="256"/>
      <c r="J32" s="256"/>
      <c r="K32" s="256"/>
      <c r="L32" s="256"/>
      <c r="M32" s="256"/>
      <c r="N32" s="256"/>
      <c r="O32" s="256"/>
      <c r="P32" s="256"/>
      <c r="Q32" s="2"/>
      <c r="R32" s="333" t="s">
        <v>3</v>
      </c>
      <c r="S32" s="333"/>
      <c r="T32" s="333"/>
      <c r="U32" s="333"/>
      <c r="V32" s="2"/>
      <c r="W32" s="255" t="s">
        <v>3</v>
      </c>
      <c r="X32" s="255"/>
      <c r="Y32" s="255"/>
      <c r="Z32" s="255"/>
      <c r="AB32" s="119"/>
      <c r="AC32" s="119"/>
      <c r="AD32" s="119"/>
      <c r="AE32" s="2"/>
      <c r="AF32" s="119"/>
      <c r="AG32" s="119"/>
      <c r="AH32" s="119"/>
      <c r="AI32" s="119"/>
      <c r="AJ32" s="119"/>
      <c r="AK32" s="119"/>
    </row>
    <row r="33" spans="2:61" ht="18.75" customHeight="1" x14ac:dyDescent="0.25">
      <c r="B33" s="256" t="s">
        <v>26</v>
      </c>
      <c r="C33" s="256"/>
      <c r="D33" s="256"/>
      <c r="E33" s="256"/>
      <c r="F33" s="256"/>
      <c r="G33" s="256"/>
      <c r="H33" s="256"/>
      <c r="I33" s="256"/>
      <c r="J33" s="256"/>
      <c r="K33" s="256"/>
      <c r="L33" s="256"/>
      <c r="M33" s="256"/>
      <c r="N33" s="256"/>
      <c r="O33" s="256"/>
      <c r="P33" s="256"/>
      <c r="Q33" s="2"/>
      <c r="R33" s="172" t="s">
        <v>3</v>
      </c>
      <c r="S33" s="172"/>
      <c r="T33" s="172"/>
      <c r="U33" s="172"/>
      <c r="V33" s="2"/>
      <c r="W33" s="255" t="s">
        <v>3</v>
      </c>
      <c r="X33" s="255"/>
      <c r="Y33" s="255"/>
      <c r="Z33" s="255"/>
      <c r="AB33" s="119"/>
      <c r="AC33" s="119"/>
      <c r="AD33" s="119"/>
      <c r="AE33" s="17"/>
      <c r="AF33" s="2"/>
      <c r="AG33" s="119"/>
      <c r="AH33" s="119"/>
      <c r="AI33" s="119"/>
      <c r="AJ33" s="119"/>
      <c r="AK33" s="119"/>
    </row>
    <row r="34" spans="2:61" ht="18.75" customHeight="1" x14ac:dyDescent="0.25">
      <c r="B34" s="256" t="s">
        <v>109</v>
      </c>
      <c r="C34" s="256"/>
      <c r="D34" s="256"/>
      <c r="E34" s="256"/>
      <c r="F34" s="256"/>
      <c r="G34" s="256"/>
      <c r="H34" s="256"/>
      <c r="I34" s="256"/>
      <c r="J34" s="256"/>
      <c r="K34" s="256"/>
      <c r="L34" s="256"/>
      <c r="M34" s="256"/>
      <c r="N34" s="256"/>
      <c r="O34" s="256"/>
      <c r="P34" s="256"/>
      <c r="Q34" s="2"/>
      <c r="R34" s="257" t="str">
        <f ca="1">IFERROR(VLOOKUP($R$33,INDIRECT($R$32&amp;"T"),2,),"")</f>
        <v/>
      </c>
      <c r="S34" s="257"/>
      <c r="T34" s="257"/>
      <c r="U34" s="257"/>
      <c r="V34" s="2"/>
      <c r="W34" s="257" t="str">
        <f ca="1">IFERROR(VLOOKUP($W$33,INDIRECT($W$32&amp;"T"),2,),"")</f>
        <v/>
      </c>
      <c r="X34" s="257"/>
      <c r="Y34" s="257"/>
      <c r="Z34" s="257"/>
      <c r="AB34" s="119"/>
      <c r="AC34" s="119"/>
      <c r="AD34" s="17"/>
      <c r="AE34" s="17"/>
      <c r="AF34" s="119"/>
      <c r="AG34" s="17"/>
      <c r="AH34" s="119"/>
      <c r="AI34" s="119"/>
      <c r="AJ34" s="119"/>
      <c r="AK34" s="119"/>
    </row>
    <row r="35" spans="2:61" ht="18.75" customHeight="1" x14ac:dyDescent="0.25">
      <c r="Q35" s="2"/>
      <c r="R35" s="2"/>
      <c r="S35" s="2"/>
      <c r="V35" s="2"/>
      <c r="W35" s="2"/>
      <c r="AB35" s="119"/>
      <c r="AC35" s="119"/>
      <c r="AD35" s="119"/>
      <c r="AE35" s="119"/>
      <c r="AF35" s="119"/>
      <c r="AG35" s="119"/>
      <c r="AH35" s="119"/>
      <c r="AI35" s="119"/>
      <c r="AJ35" s="119"/>
      <c r="AK35" s="119"/>
    </row>
    <row r="36" spans="2:61" ht="18.75" customHeight="1" x14ac:dyDescent="0.25">
      <c r="B36" s="256" t="s">
        <v>29</v>
      </c>
      <c r="C36" s="256"/>
      <c r="D36" s="256"/>
      <c r="E36" s="256"/>
      <c r="F36" s="256"/>
      <c r="G36" s="256"/>
      <c r="H36" s="256"/>
      <c r="I36" s="256"/>
      <c r="J36" s="256"/>
      <c r="K36" s="256"/>
      <c r="L36" s="256"/>
      <c r="M36" s="256"/>
      <c r="N36" s="256"/>
      <c r="O36" s="256"/>
      <c r="P36" s="256"/>
      <c r="Q36" s="2"/>
      <c r="R36" s="333" t="s">
        <v>3</v>
      </c>
      <c r="S36" s="333"/>
      <c r="T36" s="333"/>
      <c r="U36" s="333"/>
      <c r="V36" s="2"/>
      <c r="W36" s="255" t="s">
        <v>3</v>
      </c>
      <c r="X36" s="255"/>
      <c r="Y36" s="255"/>
      <c r="Z36" s="255"/>
      <c r="AB36" s="119"/>
      <c r="AC36" s="119"/>
      <c r="AD36" s="119"/>
      <c r="AE36" s="2"/>
      <c r="AF36" s="119"/>
      <c r="AG36" s="119"/>
      <c r="AH36" s="119"/>
      <c r="AI36" s="119"/>
      <c r="AJ36" s="119"/>
      <c r="AK36" s="119"/>
    </row>
    <row r="37" spans="2:61" ht="18.75" customHeight="1" x14ac:dyDescent="0.25">
      <c r="B37" s="256" t="s">
        <v>28</v>
      </c>
      <c r="C37" s="256"/>
      <c r="D37" s="256"/>
      <c r="E37" s="256"/>
      <c r="F37" s="256"/>
      <c r="G37" s="256"/>
      <c r="H37" s="256"/>
      <c r="I37" s="256"/>
      <c r="J37" s="256"/>
      <c r="K37" s="256"/>
      <c r="L37" s="256"/>
      <c r="M37" s="256"/>
      <c r="N37" s="256"/>
      <c r="O37" s="256"/>
      <c r="P37" s="256"/>
      <c r="Q37" s="2"/>
      <c r="R37" s="255" t="s">
        <v>3</v>
      </c>
      <c r="S37" s="255"/>
      <c r="T37" s="255"/>
      <c r="U37" s="255"/>
      <c r="V37" s="2"/>
      <c r="W37" s="255" t="s">
        <v>3</v>
      </c>
      <c r="X37" s="255"/>
      <c r="Y37" s="255"/>
      <c r="Z37" s="255"/>
      <c r="AB37" s="119"/>
      <c r="AC37" s="119"/>
      <c r="AD37" s="119"/>
      <c r="AE37" s="2"/>
      <c r="AF37" s="119"/>
      <c r="AG37" s="119"/>
      <c r="AH37" s="119"/>
      <c r="AI37" s="119"/>
      <c r="AJ37" s="119"/>
      <c r="AK37" s="119"/>
    </row>
    <row r="38" spans="2:61" ht="18.75" customHeight="1" x14ac:dyDescent="0.25">
      <c r="B38" s="256" t="s">
        <v>109</v>
      </c>
      <c r="C38" s="256"/>
      <c r="D38" s="256"/>
      <c r="E38" s="256"/>
      <c r="F38" s="256"/>
      <c r="G38" s="256"/>
      <c r="H38" s="256"/>
      <c r="I38" s="256"/>
      <c r="J38" s="256"/>
      <c r="K38" s="256"/>
      <c r="L38" s="256"/>
      <c r="M38" s="256"/>
      <c r="N38" s="256"/>
      <c r="O38" s="256"/>
      <c r="P38" s="256"/>
      <c r="R38" s="257" t="str">
        <f ca="1">IFERROR(VLOOKUP($R$37,INDIRECT($R$36&amp;"T"),2,),"")</f>
        <v/>
      </c>
      <c r="S38" s="257"/>
      <c r="T38" s="257"/>
      <c r="U38" s="257"/>
      <c r="W38" s="257" t="str">
        <f ca="1">IFERROR(VLOOKUP($W$37,INDIRECT($W$36&amp;"T"),2,),"")</f>
        <v/>
      </c>
      <c r="X38" s="257"/>
      <c r="Y38" s="257"/>
      <c r="Z38" s="257"/>
      <c r="AB38" s="119"/>
      <c r="AC38" s="119"/>
      <c r="AD38" s="119"/>
      <c r="AE38" s="119"/>
      <c r="AF38" s="119"/>
      <c r="AG38" s="119"/>
      <c r="AH38" s="119"/>
      <c r="AI38" s="119"/>
      <c r="AJ38" s="119"/>
      <c r="AK38" s="119"/>
    </row>
    <row r="39" spans="2:61" ht="18.75" customHeight="1" x14ac:dyDescent="0.25">
      <c r="B39" s="2"/>
      <c r="C39" s="2"/>
      <c r="D39" s="2"/>
      <c r="S39" s="2"/>
      <c r="AB39" s="119"/>
      <c r="AC39" s="119"/>
      <c r="AD39" s="119"/>
      <c r="AE39" s="119"/>
      <c r="AF39" s="119"/>
      <c r="AG39" s="119"/>
      <c r="AH39" s="119"/>
      <c r="AI39" s="119"/>
      <c r="AJ39" s="119"/>
      <c r="AK39" s="119"/>
    </row>
    <row r="40" spans="2:61" ht="18.75" customHeight="1" x14ac:dyDescent="0.25">
      <c r="B40" s="256" t="s">
        <v>471</v>
      </c>
      <c r="C40" s="256"/>
      <c r="D40" s="256"/>
      <c r="E40" s="256"/>
      <c r="F40" s="256"/>
      <c r="G40" s="256"/>
      <c r="H40" s="256"/>
      <c r="I40" s="256"/>
      <c r="J40" s="256"/>
      <c r="K40" s="256"/>
      <c r="L40" s="256"/>
      <c r="M40" s="256"/>
      <c r="N40" s="256"/>
      <c r="O40" s="256"/>
      <c r="P40" s="256"/>
      <c r="R40" s="294" t="str">
        <f ca="1">IFERROR(VLOOKUP($R$33,INDIRECT($R$32&amp;"T"),2,)*$W$16,"")</f>
        <v/>
      </c>
      <c r="S40" s="294"/>
      <c r="T40" s="294"/>
      <c r="U40" s="294"/>
      <c r="W40" s="294" t="str">
        <f ca="1">IFERROR(VLOOKUP($W$33,INDIRECT($W$32&amp;"T"),2,)*$W$16,"")</f>
        <v/>
      </c>
      <c r="X40" s="294"/>
      <c r="Y40" s="294"/>
      <c r="Z40" s="294"/>
      <c r="AB40" s="119"/>
      <c r="AC40" s="119"/>
      <c r="AD40" s="119"/>
      <c r="AE40" s="2"/>
      <c r="AF40" s="119"/>
      <c r="AG40" s="119"/>
      <c r="AH40" s="119"/>
      <c r="AI40" s="119"/>
      <c r="AJ40" s="119"/>
      <c r="AK40" s="119"/>
    </row>
    <row r="41" spans="2:61" ht="18.75" customHeight="1" x14ac:dyDescent="0.25">
      <c r="B41" s="256" t="s">
        <v>472</v>
      </c>
      <c r="C41" s="256"/>
      <c r="D41" s="256"/>
      <c r="E41" s="256"/>
      <c r="F41" s="256"/>
      <c r="G41" s="256"/>
      <c r="H41" s="256"/>
      <c r="I41" s="256"/>
      <c r="J41" s="256"/>
      <c r="K41" s="256"/>
      <c r="L41" s="256"/>
      <c r="M41" s="256"/>
      <c r="N41" s="256"/>
      <c r="O41" s="256"/>
      <c r="P41" s="256"/>
      <c r="R41" s="294">
        <f ca="1">IFERROR(VLOOKUP($R$37,INDIRECT($R$36&amp;"T"),2,)*$W$16,0)</f>
        <v>0</v>
      </c>
      <c r="S41" s="294"/>
      <c r="T41" s="294"/>
      <c r="U41" s="294"/>
      <c r="W41" s="294">
        <f ca="1">IFERROR(VLOOKUP($W$37,INDIRECT($W$36&amp;"T"),2,)*$W$16,0)</f>
        <v>0</v>
      </c>
      <c r="X41" s="294"/>
      <c r="Y41" s="294"/>
      <c r="Z41" s="294"/>
      <c r="AB41" s="119"/>
      <c r="AC41" s="119"/>
      <c r="AD41" s="119"/>
      <c r="AE41" s="2"/>
      <c r="AF41" s="119"/>
      <c r="AG41" s="119"/>
      <c r="AH41" s="119"/>
      <c r="AI41" s="119"/>
      <c r="AJ41" s="119"/>
      <c r="AK41" s="119"/>
    </row>
    <row r="42" spans="2:61" ht="18.75" customHeight="1" x14ac:dyDescent="0.25">
      <c r="B42" s="34"/>
      <c r="C42" s="34"/>
      <c r="D42" s="34"/>
      <c r="E42" s="34"/>
      <c r="F42" s="34"/>
      <c r="G42" s="34"/>
      <c r="H42" s="34"/>
      <c r="I42" s="34"/>
      <c r="J42" s="34"/>
      <c r="K42" s="34"/>
      <c r="L42" s="34"/>
      <c r="M42" s="34"/>
      <c r="N42" s="34"/>
      <c r="O42" s="34"/>
      <c r="P42" s="34"/>
      <c r="AB42" s="119"/>
      <c r="AC42" s="119"/>
      <c r="AD42" s="119"/>
      <c r="AE42" s="2"/>
      <c r="AF42" s="119"/>
      <c r="AG42" s="119"/>
      <c r="AH42" s="119"/>
      <c r="AI42" s="119"/>
      <c r="AJ42" s="119"/>
      <c r="AK42" s="119"/>
    </row>
    <row r="43" spans="2:61" ht="18.75" customHeight="1" x14ac:dyDescent="0.25">
      <c r="B43" s="286" t="s">
        <v>469</v>
      </c>
      <c r="C43" s="286"/>
      <c r="D43" s="286"/>
      <c r="E43" s="286"/>
      <c r="F43" s="286"/>
      <c r="G43" s="286"/>
      <c r="H43" s="286"/>
      <c r="I43" s="286"/>
      <c r="J43" s="286"/>
      <c r="K43" s="286"/>
      <c r="L43" s="286"/>
      <c r="M43" s="34"/>
      <c r="N43" s="34"/>
      <c r="R43" s="261" t="s">
        <v>7</v>
      </c>
      <c r="S43" s="262"/>
      <c r="T43" s="262"/>
      <c r="U43" s="263"/>
      <c r="Z43" s="17"/>
      <c r="AA43" s="17"/>
      <c r="AB43" s="343" t="s">
        <v>687</v>
      </c>
      <c r="AC43" s="344"/>
      <c r="AD43" s="344"/>
      <c r="AE43" s="344"/>
      <c r="AF43" s="344"/>
      <c r="AG43" s="344"/>
      <c r="AH43" s="344"/>
      <c r="AI43" s="344"/>
      <c r="AJ43" s="344"/>
      <c r="AK43" s="345"/>
    </row>
    <row r="44" spans="2:61" ht="18.75" customHeight="1" x14ac:dyDescent="0.25">
      <c r="B44" s="78"/>
      <c r="C44" s="78"/>
      <c r="D44" s="78"/>
      <c r="E44" s="78"/>
      <c r="F44" s="78"/>
      <c r="G44" s="78"/>
      <c r="H44" s="78"/>
      <c r="I44" s="78"/>
      <c r="M44" s="34"/>
      <c r="N44" s="34"/>
      <c r="R44" s="79"/>
      <c r="AB44" s="346"/>
      <c r="AC44" s="347"/>
      <c r="AD44" s="347"/>
      <c r="AE44" s="347"/>
      <c r="AF44" s="347"/>
      <c r="AG44" s="347"/>
      <c r="AH44" s="347"/>
      <c r="AI44" s="347"/>
      <c r="AJ44" s="347"/>
      <c r="AK44" s="348"/>
      <c r="BC44" s="32"/>
      <c r="BD44" s="32"/>
      <c r="BE44" s="32"/>
      <c r="BF44" s="32"/>
      <c r="BG44" s="32"/>
      <c r="BH44" s="32"/>
      <c r="BI44" s="32"/>
    </row>
    <row r="45" spans="2:61" ht="18.75" customHeight="1" x14ac:dyDescent="0.25">
      <c r="J45" s="264" t="s">
        <v>397</v>
      </c>
      <c r="K45" s="265"/>
      <c r="L45" s="266"/>
      <c r="M45" s="34"/>
      <c r="N45" s="264" t="s">
        <v>398</v>
      </c>
      <c r="O45" s="265"/>
      <c r="P45" s="266"/>
      <c r="AB45" s="346"/>
      <c r="AC45" s="347"/>
      <c r="AD45" s="347"/>
      <c r="AE45" s="347"/>
      <c r="AF45" s="347"/>
      <c r="AG45" s="347"/>
      <c r="AH45" s="347"/>
      <c r="AI45" s="347"/>
      <c r="AJ45" s="347"/>
      <c r="AK45" s="348"/>
      <c r="AP45" s="17"/>
      <c r="AR45" s="17"/>
      <c r="AS45" s="89"/>
      <c r="AT45" s="17"/>
      <c r="AU45" s="17"/>
      <c r="AV45" s="17"/>
      <c r="AW45" s="17"/>
      <c r="AX45" s="17"/>
      <c r="AY45" s="17"/>
      <c r="AZ45" s="17"/>
      <c r="BA45" s="17"/>
    </row>
    <row r="46" spans="2:61" ht="18.75" customHeight="1" x14ac:dyDescent="0.25">
      <c r="B46" s="2"/>
      <c r="C46" s="2"/>
      <c r="D46" s="2"/>
      <c r="J46" s="267"/>
      <c r="K46" s="268"/>
      <c r="L46" s="269"/>
      <c r="N46" s="267"/>
      <c r="O46" s="268"/>
      <c r="P46" s="269"/>
      <c r="R46" s="23"/>
      <c r="W46" s="23"/>
      <c r="AB46" s="349"/>
      <c r="AC46" s="350"/>
      <c r="AD46" s="350"/>
      <c r="AE46" s="350"/>
      <c r="AF46" s="350"/>
      <c r="AG46" s="350"/>
      <c r="AH46" s="350"/>
      <c r="AI46" s="350"/>
      <c r="AJ46" s="350"/>
      <c r="AK46" s="351"/>
    </row>
    <row r="47" spans="2:61" ht="18.75" customHeight="1" x14ac:dyDescent="0.25">
      <c r="B47" s="258" t="s">
        <v>434</v>
      </c>
      <c r="C47" s="259"/>
      <c r="D47" s="259"/>
      <c r="E47" s="259"/>
      <c r="F47" s="259"/>
      <c r="G47" s="259"/>
      <c r="H47" s="260"/>
      <c r="J47" s="337"/>
      <c r="K47" s="338"/>
      <c r="L47" s="339"/>
      <c r="N47" s="274">
        <f>IF(J47="",0,J47)</f>
        <v>0</v>
      </c>
      <c r="O47" s="275"/>
      <c r="P47" s="276"/>
      <c r="R47" s="270" t="str">
        <f>IFERROR(IF($R$43="No",$R$19/($R$29*$R$27),""),"")</f>
        <v/>
      </c>
      <c r="S47" s="270"/>
      <c r="T47" s="270"/>
      <c r="U47" s="270"/>
      <c r="W47" s="270" t="str">
        <f>IFERROR(IF($R$43="No",$W$19/($W$29*$W$27),""),"")</f>
        <v/>
      </c>
      <c r="X47" s="270"/>
      <c r="Y47" s="270"/>
      <c r="Z47" s="270"/>
      <c r="AO47" s="2"/>
    </row>
    <row r="48" spans="2:61" ht="18.75" customHeight="1" x14ac:dyDescent="0.25">
      <c r="B48" s="258" t="s">
        <v>435</v>
      </c>
      <c r="C48" s="259"/>
      <c r="D48" s="259"/>
      <c r="E48" s="259"/>
      <c r="F48" s="259"/>
      <c r="G48" s="259"/>
      <c r="H48" s="260"/>
      <c r="J48" s="337"/>
      <c r="K48" s="338"/>
      <c r="L48" s="339"/>
      <c r="N48" s="274">
        <f>J48</f>
        <v>0</v>
      </c>
      <c r="O48" s="275"/>
      <c r="P48" s="276"/>
      <c r="R48" s="270" t="str">
        <f>IFERROR(IF(AND($R$29&gt;=2,$R$43="No"), $R$19/($R$29*$R$27), 0),"")</f>
        <v/>
      </c>
      <c r="S48" s="270"/>
      <c r="T48" s="270"/>
      <c r="U48" s="270"/>
      <c r="W48" s="270" t="str">
        <f>IFERROR(IF(AND($W$29&gt;=2,$R$43="No"), $W$19/($W$29*$W$27), 0),"")</f>
        <v/>
      </c>
      <c r="X48" s="270"/>
      <c r="Y48" s="270"/>
      <c r="Z48" s="270"/>
      <c r="AO48" s="2"/>
    </row>
    <row r="49" spans="1:54" ht="18.75" customHeight="1" x14ac:dyDescent="0.25">
      <c r="B49" s="258" t="s">
        <v>436</v>
      </c>
      <c r="C49" s="259"/>
      <c r="D49" s="259"/>
      <c r="E49" s="259"/>
      <c r="F49" s="259"/>
      <c r="G49" s="259"/>
      <c r="H49" s="260"/>
      <c r="J49" s="337"/>
      <c r="K49" s="338"/>
      <c r="L49" s="339"/>
      <c r="N49" s="274">
        <f t="shared" ref="N49" si="1">J49</f>
        <v>0</v>
      </c>
      <c r="O49" s="275"/>
      <c r="P49" s="276"/>
      <c r="R49" s="270" t="str">
        <f>IFERROR(IF(AND($R$29&gt;=3,$R$43="No"), $R$19/($R$29*$R$27), 0),"")</f>
        <v/>
      </c>
      <c r="S49" s="270"/>
      <c r="T49" s="270"/>
      <c r="U49" s="270"/>
      <c r="W49" s="270" t="str">
        <f>IFERROR(IF(AND($W$29&gt;=3,$R$43="No"), $W$19/($W$29*$W$27), 0),"")</f>
        <v/>
      </c>
      <c r="X49" s="270"/>
      <c r="Y49" s="270"/>
      <c r="Z49" s="270"/>
      <c r="AD49" s="10"/>
      <c r="AO49" s="2"/>
    </row>
    <row r="50" spans="1:54" ht="18.75" customHeight="1" x14ac:dyDescent="0.25">
      <c r="B50" s="258" t="s">
        <v>437</v>
      </c>
      <c r="C50" s="259"/>
      <c r="D50" s="259"/>
      <c r="E50" s="259"/>
      <c r="F50" s="259"/>
      <c r="G50" s="259"/>
      <c r="H50" s="260"/>
      <c r="J50" s="274">
        <f>IFERROR(IF(OR(R30=0,R30="--Select--"),0,IF(AND(R29=1,R30=1),J47,IF(MAX($J$47:$L$49)/MIN(J47:L49)&gt;1.15, SQRT($J$47^2+$J$48^2+$J$49^2-$J$47*$J$48-$J$48*$J$49-$J$49*$J$47),$J$47*0.15))),"")</f>
        <v>0</v>
      </c>
      <c r="K50" s="275"/>
      <c r="L50" s="276"/>
      <c r="N50" s="274">
        <f>IFERROR(IF(OR(W30=0,W30="--Select--"),0,IF(AND(W29=1,W30=1),N47,IF(MAX($N$47:$P$49)/MIN(N47:P49)&gt;1.15, SQRT($N$47^2+$N$48^2+$N$49^2-$N$47*$N$48-$N$48*$N$49-$N$49*$N$47),$N$47*0.15))),"")</f>
        <v>0</v>
      </c>
      <c r="O50" s="275"/>
      <c r="P50" s="276"/>
      <c r="R50" s="270">
        <f>IFERROR(IF(OR(R30=0,R30="--Select--",R43="Yes"),0,IF(AND(R29=1,R30=1),R47,0.15*$R$47)),"")</f>
        <v>0</v>
      </c>
      <c r="S50" s="270"/>
      <c r="T50" s="270"/>
      <c r="U50" s="270"/>
      <c r="W50" s="270">
        <f>IFERROR(IF(OR(W30=0,W30="--Select--",R43="Yes"),0,IF(AND(W29=1,W30=1),W47,0.15*$W$47)),"")</f>
        <v>0</v>
      </c>
      <c r="X50" s="270"/>
      <c r="Y50" s="270"/>
      <c r="Z50" s="270"/>
      <c r="AD50" s="17"/>
      <c r="AM50" s="6"/>
      <c r="AO50" s="2"/>
      <c r="BA50" s="17"/>
      <c r="BB50" s="17"/>
    </row>
    <row r="51" spans="1:54" ht="18.75" customHeight="1" x14ac:dyDescent="0.25">
      <c r="B51" s="258" t="s">
        <v>538</v>
      </c>
      <c r="C51" s="259"/>
      <c r="D51" s="259"/>
      <c r="E51" s="259"/>
      <c r="F51" s="259"/>
      <c r="G51" s="259"/>
      <c r="H51" s="260"/>
      <c r="J51" s="290" t="str">
        <f ca="1">IFERROR((J47*R25)^2*R40+(J48*R25)^2*R40+(J49*R25)^2*R40+(J50*R25)^2*R41,"")</f>
        <v/>
      </c>
      <c r="K51" s="291"/>
      <c r="L51" s="292"/>
      <c r="N51" s="290" t="str">
        <f ca="1">IFERROR((N47*W25)^2*W40+(N48*W25)^2*W40+(N49*W25)^2*W40+(N50*W25)^2*W41,"")</f>
        <v/>
      </c>
      <c r="O51" s="291"/>
      <c r="P51" s="292"/>
      <c r="Q51" s="2"/>
      <c r="R51" s="293" t="str">
        <f ca="1">IFERROR((R47*R25)^2*R40+(R48*R25)^2*R40+(R49*R25)^2*R40+(R50*R25)^2*R41,"")</f>
        <v/>
      </c>
      <c r="S51" s="293"/>
      <c r="T51" s="293"/>
      <c r="U51" s="293"/>
      <c r="V51" s="67"/>
      <c r="W51" s="293" t="str">
        <f ca="1">IFERROR(IF(ISBLANK(W47), "",(W47*W25)^2*W40+(W48*W25)^2*W40+(W49*W25)^2*W40+(W50*W25)^2*W41),"")</f>
        <v/>
      </c>
      <c r="X51" s="293"/>
      <c r="Y51" s="293"/>
      <c r="Z51" s="293"/>
      <c r="AC51" s="83"/>
      <c r="AD51" s="17"/>
      <c r="AN51" s="2"/>
      <c r="AO51" s="2"/>
      <c r="BA51" s="17"/>
      <c r="BB51" s="17"/>
    </row>
    <row r="52" spans="1:54" ht="18.75" customHeight="1" x14ac:dyDescent="0.25">
      <c r="B52" s="34"/>
      <c r="C52" s="34"/>
      <c r="D52" s="34"/>
      <c r="E52" s="34"/>
      <c r="F52" s="34"/>
      <c r="G52" s="34"/>
      <c r="H52" s="34"/>
      <c r="AD52" s="141" t="s">
        <v>463</v>
      </c>
      <c r="AE52" s="141"/>
      <c r="AF52" s="141" t="s">
        <v>463</v>
      </c>
      <c r="AG52" s="141"/>
      <c r="AH52" s="144" t="s">
        <v>464</v>
      </c>
      <c r="AI52" s="33"/>
      <c r="AJ52" s="33"/>
      <c r="AN52" s="2"/>
      <c r="AO52" s="2"/>
      <c r="AZ52" s="17"/>
      <c r="BA52" s="17"/>
      <c r="BB52" s="17"/>
    </row>
    <row r="53" spans="1:54" ht="18.75" customHeight="1" x14ac:dyDescent="0.35">
      <c r="A53" s="10"/>
      <c r="B53" s="2"/>
      <c r="C53" s="2"/>
      <c r="D53" s="2"/>
      <c r="J53" s="271" t="str">
        <f>IFERROR(IF(ABS((J47*R27+J48*R27+J49*R27)-R19)/R19&gt;0.1,"ERROR",""),"")</f>
        <v/>
      </c>
      <c r="K53" s="272"/>
      <c r="L53" s="273"/>
      <c r="N53" s="271" t="str">
        <f>IFERROR(IF(ABS((N47*R27+N48*R27+N49*R27)-R19)/R19&gt;0.1,"ERROR",""),"")</f>
        <v/>
      </c>
      <c r="O53" s="272"/>
      <c r="P53" s="273"/>
      <c r="R53" s="334" t="str">
        <f>IF($R$43="Yes",IF(OR(J53="ERROR",N53="ERROR"),"*Currents do not equal kVA value*",IF(AH53=FALSE,"*Current sums do not match*","")),"")</f>
        <v/>
      </c>
      <c r="S53" s="335"/>
      <c r="T53" s="335"/>
      <c r="U53" s="335"/>
      <c r="V53" s="335"/>
      <c r="W53" s="335"/>
      <c r="X53" s="335"/>
      <c r="Y53" s="335"/>
      <c r="Z53" s="335"/>
      <c r="AC53" s="10"/>
      <c r="AD53" s="142">
        <f>SUM(J47:L49)</f>
        <v>0</v>
      </c>
      <c r="AE53" s="143"/>
      <c r="AF53" s="142">
        <f>SUM(N47:P49)</f>
        <v>0</v>
      </c>
      <c r="AG53" s="141"/>
      <c r="AH53" s="144" t="b">
        <f>AD53=AF53</f>
        <v>1</v>
      </c>
      <c r="AI53" s="33"/>
      <c r="AJ53" s="33"/>
      <c r="AZ53" s="17"/>
      <c r="BA53" s="17"/>
    </row>
    <row r="54" spans="1:54" ht="18.75" customHeight="1" x14ac:dyDescent="0.25">
      <c r="B54" s="2"/>
      <c r="C54" s="2"/>
      <c r="D54" s="2"/>
      <c r="W54" s="59"/>
      <c r="AZ54" s="17"/>
      <c r="BA54" s="17"/>
      <c r="BB54" s="17"/>
    </row>
    <row r="55" spans="1:54" ht="18.75" customHeight="1" x14ac:dyDescent="0.25">
      <c r="B55" s="295" t="s">
        <v>441</v>
      </c>
      <c r="C55" s="295"/>
      <c r="D55" s="295"/>
      <c r="E55" s="295"/>
      <c r="F55" s="295"/>
      <c r="G55" s="295"/>
      <c r="H55" s="295"/>
      <c r="I55" s="295"/>
      <c r="J55" s="295"/>
      <c r="K55" s="295"/>
      <c r="L55" s="295"/>
      <c r="M55" s="295"/>
      <c r="N55" s="295"/>
      <c r="O55" s="295"/>
      <c r="P55" s="295"/>
      <c r="Q55" s="2"/>
      <c r="R55" s="293" t="str">
        <f ca="1">IFERROR(IF(R43="No",$R$24*8760*$R$51/1000,$R$24*8760*$J$51/1000),"")</f>
        <v/>
      </c>
      <c r="S55" s="293"/>
      <c r="T55" s="293"/>
      <c r="U55" s="293"/>
      <c r="V55" s="67"/>
      <c r="W55" s="293" t="str">
        <f ca="1">IFERROR(IF(R43="No",$W$24*8760*$W$51/1000, $W$24*8760*$N$51/1000),"")</f>
        <v/>
      </c>
      <c r="X55" s="293"/>
      <c r="Y55" s="293"/>
      <c r="Z55" s="293"/>
    </row>
    <row r="56" spans="1:54" ht="18.75" customHeight="1" thickBot="1" x14ac:dyDescent="0.3">
      <c r="B56" s="2"/>
      <c r="C56" s="2"/>
      <c r="D56" s="2"/>
      <c r="Q56" s="2"/>
      <c r="S56" s="2"/>
      <c r="V56" s="2"/>
      <c r="AZ56" s="17"/>
      <c r="BA56" s="17"/>
      <c r="BB56" s="17"/>
    </row>
    <row r="57" spans="1:54" ht="18.75" customHeight="1" thickBot="1" x14ac:dyDescent="0.3">
      <c r="B57" s="280" t="s">
        <v>485</v>
      </c>
      <c r="C57" s="281"/>
      <c r="D57" s="281"/>
      <c r="E57" s="281"/>
      <c r="F57" s="281"/>
      <c r="G57" s="281"/>
      <c r="H57" s="281"/>
      <c r="I57" s="281"/>
      <c r="J57" s="281"/>
      <c r="K57" s="281"/>
      <c r="L57" s="281"/>
      <c r="M57" s="281"/>
      <c r="N57" s="281"/>
      <c r="O57" s="281"/>
      <c r="P57" s="282"/>
      <c r="R57" s="283" t="str">
        <f ca="1">IFERROR($R$55-$W$55,"")</f>
        <v/>
      </c>
      <c r="S57" s="284"/>
      <c r="T57" s="284"/>
      <c r="U57" s="284"/>
      <c r="V57" s="284"/>
      <c r="W57" s="284"/>
      <c r="X57" s="284"/>
      <c r="Y57" s="284"/>
      <c r="Z57" s="285"/>
      <c r="AB57" s="373" t="s">
        <v>487</v>
      </c>
      <c r="AC57" s="374"/>
      <c r="AD57" s="374"/>
      <c r="AE57" s="375"/>
    </row>
    <row r="58" spans="1:54" ht="18.75" customHeight="1" thickBot="1" x14ac:dyDescent="0.3">
      <c r="B58" s="280" t="s">
        <v>486</v>
      </c>
      <c r="C58" s="281"/>
      <c r="D58" s="281"/>
      <c r="E58" s="281"/>
      <c r="F58" s="281"/>
      <c r="G58" s="281"/>
      <c r="H58" s="281"/>
      <c r="I58" s="281"/>
      <c r="J58" s="281"/>
      <c r="K58" s="281"/>
      <c r="L58" s="281"/>
      <c r="M58" s="281"/>
      <c r="N58" s="281"/>
      <c r="O58" s="281"/>
      <c r="P58" s="282"/>
      <c r="R58" s="283" t="str">
        <f ca="1">IFERROR($R$57*AB58,"")</f>
        <v/>
      </c>
      <c r="S58" s="284"/>
      <c r="T58" s="284"/>
      <c r="U58" s="284"/>
      <c r="V58" s="284"/>
      <c r="W58" s="284"/>
      <c r="X58" s="284"/>
      <c r="Y58" s="284"/>
      <c r="Z58" s="285"/>
      <c r="AB58" s="376">
        <v>1.09056</v>
      </c>
      <c r="AC58" s="377"/>
      <c r="AD58" s="377"/>
      <c r="AE58" s="378"/>
    </row>
    <row r="59" spans="1:54" ht="18.75" customHeight="1" thickBot="1" x14ac:dyDescent="0.3">
      <c r="AB59" s="2"/>
    </row>
    <row r="60" spans="1:54" ht="18.75" customHeight="1" thickBot="1" x14ac:dyDescent="0.3">
      <c r="B60" s="287" t="s">
        <v>539</v>
      </c>
      <c r="C60" s="288"/>
      <c r="D60" s="288"/>
      <c r="E60" s="288"/>
      <c r="F60" s="288"/>
      <c r="G60" s="288"/>
      <c r="H60" s="288"/>
      <c r="I60" s="288"/>
      <c r="J60" s="288"/>
      <c r="K60" s="288"/>
      <c r="L60" s="288"/>
      <c r="M60" s="288"/>
      <c r="N60" s="288"/>
      <c r="O60" s="288"/>
      <c r="P60" s="289"/>
      <c r="R60" s="252"/>
      <c r="S60" s="253"/>
      <c r="T60" s="253"/>
      <c r="U60" s="253"/>
      <c r="V60" s="253"/>
      <c r="W60" s="253"/>
      <c r="X60" s="253"/>
      <c r="Y60" s="253"/>
      <c r="Z60" s="254"/>
    </row>
    <row r="61" spans="1:54" ht="18.75" customHeight="1" x14ac:dyDescent="0.25">
      <c r="R61" t="s">
        <v>703</v>
      </c>
      <c r="AF61" s="17"/>
    </row>
    <row r="62" spans="1:54" ht="18.75" customHeight="1" x14ac:dyDescent="0.25">
      <c r="B62" s="81" t="s">
        <v>32</v>
      </c>
      <c r="C62" s="17"/>
      <c r="D62" s="17"/>
      <c r="E62" s="17"/>
      <c r="F62" s="17"/>
      <c r="G62" s="17"/>
      <c r="H62" s="17"/>
      <c r="I62" s="17"/>
      <c r="J62" s="17"/>
      <c r="K62" s="17"/>
      <c r="L62" s="5"/>
      <c r="M62" s="5"/>
      <c r="N62" s="5"/>
      <c r="O62" s="5"/>
      <c r="P62" s="5"/>
      <c r="Q62" s="5"/>
      <c r="R62" s="5"/>
      <c r="S62" s="5"/>
      <c r="T62" s="5"/>
      <c r="U62" s="5"/>
      <c r="V62" s="5"/>
    </row>
    <row r="63" spans="1:54" ht="18.75" customHeight="1" thickBot="1" x14ac:dyDescent="0.3">
      <c r="B63" s="69" t="s">
        <v>479</v>
      </c>
      <c r="C63" s="70"/>
      <c r="D63" s="70"/>
      <c r="E63" s="70"/>
      <c r="F63" s="70"/>
      <c r="G63" s="70"/>
      <c r="H63" s="70"/>
      <c r="I63" s="70"/>
      <c r="J63" s="70"/>
      <c r="K63" s="70"/>
      <c r="L63" s="70"/>
      <c r="M63" s="70"/>
      <c r="N63" s="74"/>
      <c r="O63" s="70"/>
      <c r="P63" s="70"/>
      <c r="Q63" s="70"/>
      <c r="R63" s="70"/>
      <c r="S63" s="248" t="s">
        <v>476</v>
      </c>
      <c r="T63" s="248"/>
      <c r="U63" s="248"/>
      <c r="V63" s="249"/>
    </row>
    <row r="64" spans="1:54" ht="18.75" customHeight="1" x14ac:dyDescent="0.25">
      <c r="B64" s="71" t="s">
        <v>475</v>
      </c>
      <c r="C64" s="72"/>
      <c r="D64" s="72"/>
      <c r="E64" s="72"/>
      <c r="F64" s="72"/>
      <c r="G64" s="72"/>
      <c r="H64" s="72"/>
      <c r="I64" s="72"/>
      <c r="J64" s="72"/>
      <c r="K64" s="72"/>
      <c r="L64" s="72"/>
      <c r="M64" s="72"/>
      <c r="N64" s="72"/>
      <c r="O64" s="72"/>
      <c r="P64" s="72"/>
      <c r="Q64" s="72"/>
      <c r="R64" s="72"/>
      <c r="S64" s="250"/>
      <c r="T64" s="250"/>
      <c r="U64" s="250"/>
      <c r="V64" s="251"/>
    </row>
    <row r="65" spans="1:56" ht="18.75" customHeight="1" x14ac:dyDescent="0.25">
      <c r="B65" s="71" t="s">
        <v>477</v>
      </c>
      <c r="C65" s="72"/>
      <c r="D65" s="72"/>
      <c r="E65" s="72"/>
      <c r="F65" s="72"/>
      <c r="G65" s="72"/>
      <c r="H65" s="72"/>
      <c r="I65" s="72"/>
      <c r="J65" s="72"/>
      <c r="K65" s="72"/>
      <c r="L65" s="72"/>
      <c r="M65" s="72"/>
      <c r="N65" s="72"/>
      <c r="O65" s="72"/>
      <c r="P65" s="72"/>
      <c r="Q65" s="72"/>
      <c r="R65" s="72"/>
      <c r="S65" s="250"/>
      <c r="T65" s="250"/>
      <c r="U65" s="250"/>
      <c r="V65" s="251"/>
      <c r="X65" s="17"/>
      <c r="BD65" s="32"/>
    </row>
    <row r="66" spans="1:56" ht="18.75" customHeight="1" thickBot="1" x14ac:dyDescent="0.3">
      <c r="B66" s="71" t="s">
        <v>473</v>
      </c>
      <c r="C66" s="72"/>
      <c r="D66" s="72"/>
      <c r="E66" s="72"/>
      <c r="F66" s="72"/>
      <c r="G66" s="72"/>
      <c r="H66" s="72"/>
      <c r="I66" s="72"/>
      <c r="J66" s="72"/>
      <c r="K66" s="72"/>
      <c r="L66" s="72"/>
      <c r="M66" s="72"/>
      <c r="N66" s="72"/>
      <c r="O66" s="72"/>
      <c r="P66" s="72"/>
      <c r="Q66" s="72"/>
      <c r="R66" s="72"/>
      <c r="S66" s="250"/>
      <c r="T66" s="250"/>
      <c r="U66" s="250"/>
      <c r="V66" s="251"/>
      <c r="X66" s="32"/>
    </row>
    <row r="67" spans="1:56" ht="18.75" customHeight="1" thickBot="1" x14ac:dyDescent="0.3">
      <c r="B67" s="73" t="s">
        <v>478</v>
      </c>
      <c r="C67" s="72"/>
      <c r="D67" s="72"/>
      <c r="E67" s="72"/>
      <c r="F67" s="72"/>
      <c r="G67" s="72"/>
      <c r="H67" s="72"/>
      <c r="I67" s="72"/>
      <c r="J67" s="72"/>
      <c r="K67" s="72"/>
      <c r="L67" s="72"/>
      <c r="M67" s="72"/>
      <c r="N67" s="72"/>
      <c r="O67" s="72"/>
      <c r="P67" s="72"/>
      <c r="Q67" s="72"/>
      <c r="R67" s="72"/>
      <c r="S67" s="250"/>
      <c r="T67" s="250"/>
      <c r="U67" s="250"/>
      <c r="V67" s="251"/>
      <c r="X67" s="63"/>
      <c r="AC67" s="63"/>
      <c r="AH67" s="63"/>
      <c r="AM67" s="63"/>
    </row>
    <row r="68" spans="1:56" ht="18.75" customHeight="1" x14ac:dyDescent="0.25">
      <c r="B68" s="71" t="s">
        <v>474</v>
      </c>
      <c r="C68" s="72"/>
      <c r="D68" s="72"/>
      <c r="E68" s="72"/>
      <c r="F68" s="72"/>
      <c r="G68" s="72"/>
      <c r="H68" s="72"/>
      <c r="I68" s="72"/>
      <c r="J68" s="72"/>
      <c r="K68" s="72"/>
      <c r="L68" s="72"/>
      <c r="M68" s="72"/>
      <c r="N68" s="72"/>
      <c r="O68" s="72"/>
      <c r="P68" s="72"/>
      <c r="Q68" s="72"/>
      <c r="R68" s="72"/>
      <c r="S68" s="250"/>
      <c r="T68" s="250"/>
      <c r="U68" s="250"/>
      <c r="V68" s="251"/>
    </row>
    <row r="69" spans="1:56" ht="18.75" customHeight="1" x14ac:dyDescent="0.25">
      <c r="B69" s="71" t="s">
        <v>488</v>
      </c>
      <c r="C69" s="72"/>
      <c r="D69" s="72"/>
      <c r="E69" s="72"/>
      <c r="F69" s="72"/>
      <c r="G69" s="72"/>
      <c r="H69" s="72"/>
      <c r="I69" s="72"/>
      <c r="J69" s="72"/>
      <c r="K69" s="72"/>
      <c r="L69" s="72"/>
      <c r="M69" s="72"/>
      <c r="N69" s="72"/>
      <c r="O69" s="72"/>
      <c r="P69" s="72"/>
      <c r="Q69" s="72"/>
      <c r="R69" s="72"/>
      <c r="S69" s="250"/>
      <c r="T69" s="250"/>
      <c r="U69" s="250"/>
      <c r="V69" s="251"/>
    </row>
    <row r="70" spans="1:56" ht="18.75" customHeight="1" x14ac:dyDescent="0.25">
      <c r="B70" s="73" t="s">
        <v>489</v>
      </c>
      <c r="C70" s="72"/>
      <c r="D70" s="72"/>
      <c r="E70" s="72"/>
      <c r="F70" s="72"/>
      <c r="G70" s="72"/>
      <c r="H70" s="72"/>
      <c r="I70" s="72"/>
      <c r="J70" s="72"/>
      <c r="K70" s="72"/>
      <c r="L70" s="72"/>
      <c r="M70" s="72"/>
      <c r="N70" s="72"/>
      <c r="O70" s="72"/>
      <c r="P70" s="72"/>
      <c r="Q70" s="72"/>
      <c r="R70" s="72"/>
      <c r="S70" s="250"/>
      <c r="T70" s="250"/>
      <c r="U70" s="250"/>
      <c r="V70" s="251"/>
    </row>
    <row r="71" spans="1:56" ht="18.75" customHeight="1" x14ac:dyDescent="0.25">
      <c r="B71" s="75" t="s">
        <v>490</v>
      </c>
      <c r="C71" s="62"/>
      <c r="D71" s="62"/>
      <c r="E71" s="62"/>
      <c r="F71" s="62"/>
      <c r="G71" s="62"/>
      <c r="H71" s="62"/>
      <c r="I71" s="62"/>
      <c r="J71" s="62"/>
      <c r="K71" s="62"/>
      <c r="L71" s="62"/>
      <c r="M71" s="62"/>
      <c r="N71" s="62"/>
      <c r="O71" s="62"/>
      <c r="P71" s="62"/>
      <c r="Q71" s="62"/>
      <c r="R71" s="62"/>
      <c r="S71" s="62"/>
      <c r="T71" s="62"/>
      <c r="U71" s="62"/>
      <c r="V71" s="76"/>
    </row>
    <row r="72" spans="1:56" ht="18.75" customHeight="1" thickBot="1" x14ac:dyDescent="0.3">
      <c r="B72" s="146" t="s">
        <v>689</v>
      </c>
      <c r="W72" s="32"/>
      <c r="X72" s="32"/>
      <c r="Y72" s="32"/>
      <c r="Z72" s="32"/>
      <c r="AA72" s="32"/>
      <c r="AB72" s="32"/>
      <c r="AC72" s="32"/>
      <c r="AD72" s="32"/>
      <c r="AE72" s="32"/>
      <c r="AF72" s="32"/>
      <c r="AG72" s="32"/>
      <c r="AH72" s="32"/>
      <c r="AI72" s="32"/>
      <c r="AJ72" s="32"/>
      <c r="AK72" s="32"/>
      <c r="AL72" s="32"/>
    </row>
    <row r="73" spans="1:56" ht="18.75" customHeight="1" thickBot="1" x14ac:dyDescent="0.3">
      <c r="B73" s="280" t="s">
        <v>410</v>
      </c>
      <c r="C73" s="281"/>
      <c r="D73" s="281"/>
      <c r="E73" s="281"/>
      <c r="F73" s="281"/>
      <c r="G73" s="281"/>
      <c r="H73" s="281"/>
      <c r="I73" s="281"/>
      <c r="J73" s="281"/>
      <c r="K73" s="281"/>
      <c r="L73" s="281"/>
      <c r="M73" s="281"/>
      <c r="N73" s="281"/>
      <c r="O73" s="281"/>
      <c r="P73" s="282"/>
      <c r="R73" s="277" t="str">
        <f ca="1">IFERROR(IF(R58*J10&lt;(0.7*$R$60),R58*J10,0.7*$R$60),"")</f>
        <v/>
      </c>
      <c r="S73" s="278"/>
      <c r="T73" s="278"/>
      <c r="U73" s="278"/>
      <c r="V73" s="278"/>
      <c r="W73" s="278"/>
      <c r="X73" s="278"/>
      <c r="Y73" s="278"/>
      <c r="Z73" s="279"/>
      <c r="AA73" s="32"/>
      <c r="AB73" s="32"/>
      <c r="AC73" s="32"/>
      <c r="AD73" s="32"/>
      <c r="AE73" s="32"/>
      <c r="AF73" s="32"/>
      <c r="AG73" s="32"/>
      <c r="AH73" s="32"/>
      <c r="AI73" s="32"/>
      <c r="AJ73" s="32"/>
      <c r="AK73" s="32"/>
      <c r="AL73" s="32"/>
    </row>
    <row r="74" spans="1:56" ht="18.75" customHeight="1" thickBot="1" x14ac:dyDescent="0.3">
      <c r="B74" s="280" t="s">
        <v>411</v>
      </c>
      <c r="C74" s="281"/>
      <c r="D74" s="281"/>
      <c r="E74" s="281"/>
      <c r="F74" s="281"/>
      <c r="G74" s="281"/>
      <c r="H74" s="281"/>
      <c r="I74" s="281"/>
      <c r="J74" s="281"/>
      <c r="K74" s="281"/>
      <c r="L74" s="281"/>
      <c r="M74" s="281"/>
      <c r="N74" s="281"/>
      <c r="O74" s="281"/>
      <c r="P74" s="282"/>
      <c r="R74" s="277" t="str">
        <f ca="1">IFERROR(R73*Summary!$M$18,"")</f>
        <v/>
      </c>
      <c r="S74" s="278"/>
      <c r="T74" s="278"/>
      <c r="U74" s="278"/>
      <c r="V74" s="278"/>
      <c r="W74" s="278"/>
      <c r="X74" s="278"/>
      <c r="Y74" s="278"/>
      <c r="Z74" s="279"/>
      <c r="AO74" s="17"/>
    </row>
    <row r="75" spans="1:56" ht="18.75" customHeight="1" thickBot="1" x14ac:dyDescent="0.3">
      <c r="B75" s="280" t="s">
        <v>412</v>
      </c>
      <c r="C75" s="281"/>
      <c r="D75" s="281"/>
      <c r="E75" s="281"/>
      <c r="F75" s="281"/>
      <c r="G75" s="281"/>
      <c r="H75" s="281"/>
      <c r="I75" s="281"/>
      <c r="J75" s="281"/>
      <c r="K75" s="281"/>
      <c r="L75" s="281"/>
      <c r="M75" s="281"/>
      <c r="N75" s="281"/>
      <c r="O75" s="281"/>
      <c r="P75" s="282"/>
      <c r="R75" s="277" t="str">
        <f ca="1">IFERROR(R73*Summary!$M$19,"")</f>
        <v/>
      </c>
      <c r="S75" s="278"/>
      <c r="T75" s="278"/>
      <c r="U75" s="278"/>
      <c r="V75" s="278"/>
      <c r="W75" s="278"/>
      <c r="X75" s="278"/>
      <c r="Y75" s="278"/>
      <c r="Z75" s="279"/>
      <c r="AQ75" s="17"/>
    </row>
    <row r="76" spans="1:56" ht="18.75" customHeight="1" x14ac:dyDescent="0.25">
      <c r="AQ76" s="17"/>
    </row>
    <row r="77" spans="1:56" ht="18.75" customHeight="1" x14ac:dyDescent="0.25">
      <c r="A77" s="68" t="s">
        <v>484</v>
      </c>
    </row>
  </sheetData>
  <sheetProtection password="BD7D" sheet="1" scenarios="1"/>
  <mergeCells count="135">
    <mergeCell ref="AB19:AK21"/>
    <mergeCell ref="AB23:AK27"/>
    <mergeCell ref="AB43:AK46"/>
    <mergeCell ref="B6:G6"/>
    <mergeCell ref="B7:G7"/>
    <mergeCell ref="B8:G8"/>
    <mergeCell ref="R14:U15"/>
    <mergeCell ref="W14:Z15"/>
    <mergeCell ref="B15:P15"/>
    <mergeCell ref="B17:P17"/>
    <mergeCell ref="R17:U17"/>
    <mergeCell ref="W17:Z17"/>
    <mergeCell ref="B16:P16"/>
    <mergeCell ref="R16:U16"/>
    <mergeCell ref="W16:Z16"/>
    <mergeCell ref="B20:P20"/>
    <mergeCell ref="R20:U20"/>
    <mergeCell ref="W20:Z20"/>
    <mergeCell ref="B21:P21"/>
    <mergeCell ref="R21:U21"/>
    <mergeCell ref="W21:Z21"/>
    <mergeCell ref="B18:P18"/>
    <mergeCell ref="R18:U18"/>
    <mergeCell ref="W18:Z18"/>
    <mergeCell ref="AB2:AH2"/>
    <mergeCell ref="AB3:AH3"/>
    <mergeCell ref="AB4:AH4"/>
    <mergeCell ref="B4:G4"/>
    <mergeCell ref="B5:G5"/>
    <mergeCell ref="B12:U12"/>
    <mergeCell ref="W12:Z12"/>
    <mergeCell ref="B10:I10"/>
    <mergeCell ref="H4:Z4"/>
    <mergeCell ref="H5:Z5"/>
    <mergeCell ref="H6:Z6"/>
    <mergeCell ref="H7:Z7"/>
    <mergeCell ref="H8:Z8"/>
    <mergeCell ref="J10:Z10"/>
    <mergeCell ref="B19:P19"/>
    <mergeCell ref="R19:U19"/>
    <mergeCell ref="W19:Z19"/>
    <mergeCell ref="B25:P25"/>
    <mergeCell ref="R25:U25"/>
    <mergeCell ref="W25:Z25"/>
    <mergeCell ref="B23:P23"/>
    <mergeCell ref="R23:U23"/>
    <mergeCell ref="W23:Z23"/>
    <mergeCell ref="B24:P24"/>
    <mergeCell ref="R24:U24"/>
    <mergeCell ref="W24:Z24"/>
    <mergeCell ref="B30:P30"/>
    <mergeCell ref="R30:U30"/>
    <mergeCell ref="W30:Z30"/>
    <mergeCell ref="B31:P31"/>
    <mergeCell ref="R31:U31"/>
    <mergeCell ref="B32:P32"/>
    <mergeCell ref="R32:U32"/>
    <mergeCell ref="W32:Z32"/>
    <mergeCell ref="B27:P27"/>
    <mergeCell ref="R27:U27"/>
    <mergeCell ref="W27:Z27"/>
    <mergeCell ref="B29:P29"/>
    <mergeCell ref="R29:U29"/>
    <mergeCell ref="W29:Z29"/>
    <mergeCell ref="B36:P36"/>
    <mergeCell ref="R36:U36"/>
    <mergeCell ref="W36:Z36"/>
    <mergeCell ref="B37:P37"/>
    <mergeCell ref="R37:U37"/>
    <mergeCell ref="W37:Z37"/>
    <mergeCell ref="B33:P33"/>
    <mergeCell ref="R33:U33"/>
    <mergeCell ref="W33:Z33"/>
    <mergeCell ref="B34:P34"/>
    <mergeCell ref="R34:U34"/>
    <mergeCell ref="W34:Z34"/>
    <mergeCell ref="B41:P41"/>
    <mergeCell ref="R41:U41"/>
    <mergeCell ref="W41:Z41"/>
    <mergeCell ref="B43:L43"/>
    <mergeCell ref="R43:U43"/>
    <mergeCell ref="J45:L46"/>
    <mergeCell ref="N45:P46"/>
    <mergeCell ref="B38:P38"/>
    <mergeCell ref="R38:U38"/>
    <mergeCell ref="W38:Z38"/>
    <mergeCell ref="B40:P40"/>
    <mergeCell ref="R40:U40"/>
    <mergeCell ref="W40:Z40"/>
    <mergeCell ref="B48:H48"/>
    <mergeCell ref="J48:L48"/>
    <mergeCell ref="N48:P48"/>
    <mergeCell ref="R48:U48"/>
    <mergeCell ref="W48:Z48"/>
    <mergeCell ref="B47:H47"/>
    <mergeCell ref="J47:L47"/>
    <mergeCell ref="N47:P47"/>
    <mergeCell ref="R47:U47"/>
    <mergeCell ref="W47:Z47"/>
    <mergeCell ref="B49:H49"/>
    <mergeCell ref="J49:L49"/>
    <mergeCell ref="N49:P49"/>
    <mergeCell ref="R49:U49"/>
    <mergeCell ref="W49:Z49"/>
    <mergeCell ref="B50:H50"/>
    <mergeCell ref="J50:L50"/>
    <mergeCell ref="N50:P50"/>
    <mergeCell ref="R50:U50"/>
    <mergeCell ref="W50:Z50"/>
    <mergeCell ref="B55:P55"/>
    <mergeCell ref="R55:U55"/>
    <mergeCell ref="W55:Z55"/>
    <mergeCell ref="B57:P57"/>
    <mergeCell ref="R57:Z57"/>
    <mergeCell ref="AB57:AE57"/>
    <mergeCell ref="B51:H51"/>
    <mergeCell ref="J51:L51"/>
    <mergeCell ref="N51:P51"/>
    <mergeCell ref="R51:U51"/>
    <mergeCell ref="W51:Z51"/>
    <mergeCell ref="J53:L53"/>
    <mergeCell ref="N53:P53"/>
    <mergeCell ref="R53:Z53"/>
    <mergeCell ref="B75:P75"/>
    <mergeCell ref="R75:Z75"/>
    <mergeCell ref="S63:V70"/>
    <mergeCell ref="B58:P58"/>
    <mergeCell ref="R58:Z58"/>
    <mergeCell ref="AB58:AE58"/>
    <mergeCell ref="B73:P73"/>
    <mergeCell ref="R73:Z73"/>
    <mergeCell ref="B74:P74"/>
    <mergeCell ref="R74:Z74"/>
    <mergeCell ref="B60:P60"/>
    <mergeCell ref="R60:Z60"/>
  </mergeCells>
  <conditionalFormatting sqref="W12:Z12 R60 H5:H8">
    <cfRule type="expression" dxfId="298" priority="61">
      <formula>IF(OR(H5="--Select--",ISBLANK(H5)),TRUE,FALSE)</formula>
    </cfRule>
  </conditionalFormatting>
  <conditionalFormatting sqref="R20:U20 R18:U18">
    <cfRule type="expression" dxfId="297" priority="60">
      <formula>IF(OR(R18="--Select--",ISBLANK(R18)),TRUE,FALSE)</formula>
    </cfRule>
  </conditionalFormatting>
  <conditionalFormatting sqref="R27:U27">
    <cfRule type="expression" dxfId="296" priority="59">
      <formula>IF(OR(R27="--Select--",ISBLANK(R27)),TRUE,FALSE)</formula>
    </cfRule>
  </conditionalFormatting>
  <conditionalFormatting sqref="R29:U30">
    <cfRule type="expression" dxfId="295" priority="58">
      <formula>IF(OR(R29="--Select--",ISBLANK(R29)),TRUE,FALSE)</formula>
    </cfRule>
  </conditionalFormatting>
  <conditionalFormatting sqref="R32:U32">
    <cfRule type="expression" dxfId="294" priority="57">
      <formula>IF(OR(R32="--Select--",ISBLANK(R32)),TRUE,FALSE)</formula>
    </cfRule>
  </conditionalFormatting>
  <conditionalFormatting sqref="R36:U36">
    <cfRule type="expression" dxfId="293" priority="56">
      <formula>IF(OR(R36="--Select--",ISBLANK(R36)),TRUE,FALSE)</formula>
    </cfRule>
  </conditionalFormatting>
  <conditionalFormatting sqref="R37:U37">
    <cfRule type="expression" dxfId="292" priority="54">
      <formula>IF(R36="--Select--",TRUE,FALSE)</formula>
    </cfRule>
    <cfRule type="expression" dxfId="291" priority="55">
      <formula>IF(OR(R37="--Select--",ISBLANK(R36)),TRUE,FALSE)</formula>
    </cfRule>
  </conditionalFormatting>
  <conditionalFormatting sqref="W27:Z27">
    <cfRule type="expression" dxfId="290" priority="53">
      <formula>IF(OR(W27="--Select--",ISBLANK(W27)),TRUE,FALSE)</formula>
    </cfRule>
  </conditionalFormatting>
  <conditionalFormatting sqref="W29:Z30">
    <cfRule type="expression" dxfId="289" priority="52">
      <formula>IF(OR(W29="--Select--",ISBLANK(W29)),TRUE,FALSE)</formula>
    </cfRule>
  </conditionalFormatting>
  <conditionalFormatting sqref="W32:Z32">
    <cfRule type="expression" dxfId="288" priority="51">
      <formula>IF(OR(W32="--Select--",ISBLANK(W32)),TRUE,FALSE)</formula>
    </cfRule>
  </conditionalFormatting>
  <conditionalFormatting sqref="W36:Z36">
    <cfRule type="expression" dxfId="287" priority="50">
      <formula>IF(OR(W36="--Select--",ISBLANK(W36)),TRUE,FALSE)</formula>
    </cfRule>
  </conditionalFormatting>
  <conditionalFormatting sqref="W33:Z33">
    <cfRule type="expression" dxfId="286" priority="48">
      <formula>IF(W32="--Select--",TRUE,FALSE)</formula>
    </cfRule>
    <cfRule type="expression" dxfId="285" priority="49">
      <formula>IF(OR(W33="--Select--",ISBLANK(W32)),TRUE,FALSE)</formula>
    </cfRule>
  </conditionalFormatting>
  <conditionalFormatting sqref="W37:Z37">
    <cfRule type="expression" dxfId="284" priority="46">
      <formula>IF(W36="--Select--",TRUE,FALSE)</formula>
    </cfRule>
    <cfRule type="expression" dxfId="283" priority="47">
      <formula>IF(OR(W37="--Select--",ISBLANK(W36)),TRUE,FALSE)</formula>
    </cfRule>
  </conditionalFormatting>
  <conditionalFormatting sqref="H4">
    <cfRule type="expression" dxfId="282" priority="45">
      <formula>IF(OR(H4="--Select--",ISBLANK(H4)),TRUE,FALSE)</formula>
    </cfRule>
  </conditionalFormatting>
  <conditionalFormatting sqref="J47">
    <cfRule type="expression" dxfId="281" priority="715">
      <formula>IF(ISBLANK(J47),TRUE,FALSE)</formula>
    </cfRule>
  </conditionalFormatting>
  <conditionalFormatting sqref="J48">
    <cfRule type="expression" dxfId="280" priority="62">
      <formula>IF(ISBLANK(J48),TRUE,FALSE)</formula>
    </cfRule>
  </conditionalFormatting>
  <conditionalFormatting sqref="J49">
    <cfRule type="expression" dxfId="279" priority="44">
      <formula>IF(ISBLANK(J49),TRUE,FALSE)</formula>
    </cfRule>
  </conditionalFormatting>
  <conditionalFormatting sqref="J50">
    <cfRule type="expression" dxfId="278" priority="43">
      <formula>IF(ISBLANK(J50),TRUE,FALSE)</formula>
    </cfRule>
  </conditionalFormatting>
  <conditionalFormatting sqref="N47:N50">
    <cfRule type="expression" dxfId="277" priority="41">
      <formula>IF(ISBLANK(N47),TRUE,FALSE)</formula>
    </cfRule>
  </conditionalFormatting>
  <conditionalFormatting sqref="N48:N50">
    <cfRule type="expression" dxfId="276" priority="40">
      <formula>IF(ISBLANK(N48),TRUE,FALSE)</formula>
    </cfRule>
  </conditionalFormatting>
  <conditionalFormatting sqref="N49">
    <cfRule type="expression" dxfId="275" priority="39">
      <formula>IF(ISBLANK(N49),TRUE,FALSE)</formula>
    </cfRule>
  </conditionalFormatting>
  <conditionalFormatting sqref="N50">
    <cfRule type="expression" dxfId="274" priority="38">
      <formula>IF(ISBLANK(N50),TRUE,FALSE)</formula>
    </cfRule>
  </conditionalFormatting>
  <conditionalFormatting sqref="J10">
    <cfRule type="expression" dxfId="273" priority="36">
      <formula>IF(OR(J10="--Select--",ISBLANK(J10)),TRUE,FALSE)</formula>
    </cfRule>
  </conditionalFormatting>
  <conditionalFormatting sqref="R33:U33">
    <cfRule type="expression" dxfId="272" priority="34">
      <formula>IF(R32="--Select--",TRUE,FALSE)</formula>
    </cfRule>
    <cfRule type="expression" dxfId="271" priority="35">
      <formula>IF(OR(R33="--Select--",ISBLANK(R32)),TRUE,FALSE)</formula>
    </cfRule>
  </conditionalFormatting>
  <conditionalFormatting sqref="R23:U23">
    <cfRule type="expression" dxfId="270" priority="31">
      <formula>IF(OR(R23="--Select--",ISBLANK(R23)),TRUE,FALSE)</formula>
    </cfRule>
  </conditionalFormatting>
  <conditionalFormatting sqref="J45:L51 N45:P51">
    <cfRule type="expression" dxfId="269" priority="37" stopIfTrue="1">
      <formula>IF($R$43="No",TRUE,FALSE)</formula>
    </cfRule>
  </conditionalFormatting>
  <conditionalFormatting sqref="J51 N51">
    <cfRule type="expression" dxfId="268" priority="870">
      <formula>IF($R$43="No",TRUE,FALSE)</formula>
    </cfRule>
  </conditionalFormatting>
  <conditionalFormatting sqref="R43:U43">
    <cfRule type="expression" dxfId="267" priority="30">
      <formula>IF(OR(R43="--Select--",ISBLANK(R43)),TRUE,FALSE)</formula>
    </cfRule>
  </conditionalFormatting>
  <conditionalFormatting sqref="R19:U19">
    <cfRule type="expression" dxfId="266" priority="29">
      <formula>IF(OR(R19="--Select--",ISBLANK(R19)),TRUE,FALSE)</formula>
    </cfRule>
  </conditionalFormatting>
  <conditionalFormatting sqref="R17:U17">
    <cfRule type="expression" dxfId="265" priority="27">
      <formula>IF(OR(R17="--Select--",ISBLANK(R17)),TRUE,FALSE)</formula>
    </cfRule>
  </conditionalFormatting>
  <conditionalFormatting sqref="W16:Z16">
    <cfRule type="expression" dxfId="264" priority="26">
      <formula>IF(OR(W16="--Select--",ISBLANK(W16)),TRUE,FALSE)</formula>
    </cfRule>
  </conditionalFormatting>
  <conditionalFormatting sqref="J53:L53">
    <cfRule type="expression" dxfId="263" priority="25" stopIfTrue="1">
      <formula>IF($R$43="No",TRUE,FALSE)</formula>
    </cfRule>
  </conditionalFormatting>
  <conditionalFormatting sqref="N53:P53">
    <cfRule type="expression" dxfId="262" priority="16" stopIfTrue="1">
      <formula>IF($R$43="No",TRUE,FALSE)</formula>
    </cfRule>
  </conditionalFormatting>
  <conditionalFormatting sqref="R53:Z53">
    <cfRule type="expression" dxfId="261" priority="15" stopIfTrue="1">
      <formula>IF($R$43="No",TRUE,FALSE)</formula>
    </cfRule>
  </conditionalFormatting>
  <dataValidations count="4">
    <dataValidation type="list" allowBlank="1" showInputMessage="1" showErrorMessage="1" sqref="W37:Z37">
      <formula1>INDIRECT($W$36)</formula1>
    </dataValidation>
    <dataValidation type="list" allowBlank="1" showInputMessage="1" showErrorMessage="1" sqref="R37:U37">
      <formula1>INDIRECT($R$36)</formula1>
    </dataValidation>
    <dataValidation type="list" allowBlank="1" showInputMessage="1" showErrorMessage="1" sqref="W33:Z33">
      <formula1>INDIRECT($W$32)</formula1>
    </dataValidation>
    <dataValidation type="list" allowBlank="1" showInputMessage="1" showErrorMessage="1" sqref="R33:U33">
      <formula1>INDIRECT($R$32)</formula1>
    </dataValidation>
  </dataValidations>
  <pageMargins left="0.25" right="0.25" top="0.75" bottom="0.75" header="0.3" footer="0.3"/>
  <pageSetup orientation="portrait" r:id="rId1"/>
  <ignoredErrors>
    <ignoredError sqref="N48:P49 W17:Z23 R19:U19 R21:U21 N47:P47 J50 N50:P50" unlockedFormula="1"/>
  </ignoredErrors>
  <extLst>
    <ext xmlns:x14="http://schemas.microsoft.com/office/spreadsheetml/2009/9/main" uri="{78C0D931-6437-407d-A8EE-F0AAD7539E65}">
      <x14:conditionalFormattings>
        <x14:conditionalFormatting xmlns:xm="http://schemas.microsoft.com/office/excel/2006/main">
          <x14:cfRule type="expression" priority="1" id="{400FA0DD-8D1C-4298-A75B-262B8B45BFC0}">
            <xm:f>OR(Summary!$P$21="--Select--",Summary!$P$21&lt;2,Summary!$P$12="--Select--",Summary!$P$12="Transformer Only")</xm:f>
            <x14:dxf>
              <fill>
                <patternFill patternType="solid">
                  <bgColor theme="1"/>
                </patternFill>
              </fill>
            </x14:dxf>
          </x14:cfRule>
          <xm:sqref>A1:XFD1048576</xm:sqref>
        </x14:conditionalFormatting>
      </x14:conditionalFormattings>
    </ext>
    <ext xmlns:x14="http://schemas.microsoft.com/office/spreadsheetml/2009/9/main" uri="{CCE6A557-97BC-4b89-ADB6-D9C93CAAB3DF}">
      <x14:dataValidations xmlns:xm="http://schemas.microsoft.com/office/excel/2006/main" count="5">
        <x14:dataValidation type="list" allowBlank="1" showInputMessage="1" showErrorMessage="1">
          <x14:formula1>
            <xm:f>Lists!$K$3:$K$4</xm:f>
          </x14:formula1>
          <xm:sqref>R43:R44</xm:sqref>
        </x14:dataValidation>
        <x14:dataValidation type="list" allowBlank="1" showInputMessage="1" showErrorMessage="1">
          <x14:formula1>
            <xm:f>Lists!$G$2:$G$5</xm:f>
          </x14:formula1>
          <xm:sqref>R29 W29:Z29</xm:sqref>
        </x14:dataValidation>
        <x14:dataValidation type="list" allowBlank="1" showInputMessage="1" showErrorMessage="1">
          <x14:formula1>
            <xm:f>Lists!$H$2:$H$4</xm:f>
          </x14:formula1>
          <xm:sqref>R30 W30:Z30</xm:sqref>
        </x14:dataValidation>
        <x14:dataValidation type="list" allowBlank="1" showInputMessage="1" showErrorMessage="1">
          <x14:formula1>
            <xm:f>Lists!$I$2:$I$5</xm:f>
          </x14:formula1>
          <xm:sqref>R32:U32 W32:Z32 R36:U36 W36:Z36</xm:sqref>
        </x14:dataValidation>
        <x14:dataValidation type="list" allowBlank="1" showInputMessage="1" showErrorMessage="1">
          <x14:formula1>
            <xm:f>Lists!$K$2:$K$4</xm:f>
          </x14:formula1>
          <xm:sqref>W12</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Z77"/>
  <sheetViews>
    <sheetView showGridLines="0" zoomScaleNormal="100" workbookViewId="0">
      <selection activeCell="H4" sqref="H4:Z4"/>
    </sheetView>
  </sheetViews>
  <sheetFormatPr defaultColWidth="3.5703125" defaultRowHeight="18.75" customHeight="1" x14ac:dyDescent="0.25"/>
  <cols>
    <col min="17" max="18" width="3.5703125" customWidth="1"/>
    <col min="23" max="23" width="3.5703125" customWidth="1"/>
    <col min="30" max="32" width="3.5703125" customWidth="1"/>
    <col min="34" max="34" width="3.5703125" customWidth="1"/>
    <col min="38" max="39" width="3.5703125" customWidth="1"/>
    <col min="55" max="55" width="4" bestFit="1" customWidth="1"/>
    <col min="57" max="57" width="4" bestFit="1" customWidth="1"/>
    <col min="60" max="60" width="3.5703125" customWidth="1"/>
  </cols>
  <sheetData>
    <row r="1" spans="1:78" ht="18.75" customHeight="1" x14ac:dyDescent="0.3">
      <c r="A1" s="95"/>
      <c r="B1" s="94" t="s">
        <v>541</v>
      </c>
      <c r="C1" s="95"/>
      <c r="D1" s="95"/>
      <c r="E1" s="95"/>
      <c r="F1" s="95"/>
      <c r="G1" s="95"/>
      <c r="H1" s="95"/>
      <c r="I1" s="95"/>
      <c r="J1" s="95"/>
      <c r="K1" s="95"/>
      <c r="L1" s="95"/>
      <c r="M1" s="95"/>
      <c r="N1" s="95"/>
      <c r="O1" s="95"/>
      <c r="P1" s="95"/>
      <c r="Q1" s="95"/>
      <c r="R1" s="95"/>
      <c r="S1" s="95"/>
      <c r="T1" s="95"/>
      <c r="U1" s="95"/>
      <c r="V1" s="95"/>
      <c r="W1" s="95"/>
      <c r="X1" s="95"/>
      <c r="Y1" s="95"/>
      <c r="Z1" s="95"/>
      <c r="AA1" s="95"/>
      <c r="AB1" s="95"/>
      <c r="AC1" s="95"/>
      <c r="AD1" s="95"/>
      <c r="AE1" s="95"/>
      <c r="AF1" s="95"/>
      <c r="AG1" s="95"/>
      <c r="AH1" s="95"/>
      <c r="AI1" s="95"/>
      <c r="AJ1" s="95"/>
      <c r="AK1" s="95"/>
      <c r="AL1" s="95"/>
      <c r="AM1" s="95"/>
      <c r="AN1" s="95"/>
      <c r="AO1" s="95"/>
      <c r="AP1" s="95"/>
      <c r="AQ1" s="95"/>
      <c r="AR1" s="95"/>
      <c r="AS1" s="95"/>
      <c r="AT1" s="95"/>
      <c r="AU1" s="95"/>
      <c r="AV1" s="95"/>
      <c r="AW1" s="95"/>
      <c r="AX1" s="95"/>
      <c r="AY1" s="95"/>
      <c r="AZ1" s="95"/>
      <c r="BA1" s="95"/>
      <c r="BB1" s="95"/>
      <c r="BC1" s="95"/>
      <c r="BD1" s="95"/>
      <c r="BE1" s="95"/>
      <c r="BF1" s="95"/>
      <c r="BG1" s="95"/>
      <c r="BH1" s="95"/>
      <c r="BI1" s="95"/>
      <c r="BJ1" s="95"/>
      <c r="BK1" s="95"/>
      <c r="BL1" s="95"/>
      <c r="BM1" s="95"/>
      <c r="BN1" s="95"/>
      <c r="BO1" s="95"/>
      <c r="BP1" s="95"/>
      <c r="BQ1" s="95"/>
      <c r="BR1" s="95"/>
      <c r="BS1" s="95"/>
      <c r="BT1" s="95"/>
      <c r="BU1" s="95"/>
      <c r="BV1" s="95"/>
      <c r="BW1" s="95"/>
      <c r="BX1" s="95"/>
      <c r="BY1" s="95"/>
      <c r="BZ1" s="95"/>
    </row>
    <row r="2" spans="1:78" ht="18.75" customHeight="1" x14ac:dyDescent="0.25">
      <c r="AB2" s="302" t="s">
        <v>391</v>
      </c>
      <c r="AC2" s="302"/>
      <c r="AD2" s="302"/>
      <c r="AE2" s="302"/>
      <c r="AF2" s="302"/>
      <c r="AG2" s="302"/>
      <c r="AH2" s="302"/>
    </row>
    <row r="3" spans="1:78" ht="18.75" customHeight="1" x14ac:dyDescent="0.25">
      <c r="B3" s="5"/>
      <c r="AB3" s="380" t="s">
        <v>392</v>
      </c>
      <c r="AC3" s="380"/>
      <c r="AD3" s="380"/>
      <c r="AE3" s="380"/>
      <c r="AF3" s="380"/>
      <c r="AG3" s="380"/>
      <c r="AH3" s="380"/>
      <c r="AL3" s="17"/>
    </row>
    <row r="4" spans="1:78" ht="18.75" customHeight="1" x14ac:dyDescent="0.25">
      <c r="B4" s="318" t="s">
        <v>455</v>
      </c>
      <c r="C4" s="319"/>
      <c r="D4" s="319"/>
      <c r="E4" s="319"/>
      <c r="F4" s="319"/>
      <c r="G4" s="320"/>
      <c r="H4" s="172"/>
      <c r="I4" s="172"/>
      <c r="J4" s="172"/>
      <c r="K4" s="172"/>
      <c r="L4" s="172"/>
      <c r="M4" s="172"/>
      <c r="N4" s="172"/>
      <c r="O4" s="172"/>
      <c r="P4" s="172"/>
      <c r="Q4" s="172"/>
      <c r="R4" s="172"/>
      <c r="S4" s="172"/>
      <c r="T4" s="172"/>
      <c r="U4" s="172"/>
      <c r="V4" s="172"/>
      <c r="W4" s="172"/>
      <c r="X4" s="172"/>
      <c r="Y4" s="172"/>
      <c r="Z4" s="172"/>
      <c r="AB4" s="381" t="s">
        <v>393</v>
      </c>
      <c r="AC4" s="381"/>
      <c r="AD4" s="381"/>
      <c r="AE4" s="381"/>
      <c r="AF4" s="381"/>
      <c r="AG4" s="381"/>
      <c r="AH4" s="381"/>
      <c r="AL4" s="17"/>
      <c r="AM4" s="17"/>
      <c r="AN4" s="17"/>
      <c r="AO4" s="17"/>
      <c r="AP4" s="17"/>
      <c r="AQ4" s="17"/>
      <c r="AR4" s="17"/>
      <c r="AS4" s="17"/>
      <c r="AT4" s="17"/>
      <c r="AU4" s="17"/>
      <c r="AV4" s="17"/>
      <c r="AW4" s="17"/>
      <c r="AX4" s="17"/>
      <c r="AY4" s="17"/>
      <c r="AZ4" s="17"/>
      <c r="BA4" s="17"/>
      <c r="BB4" s="17"/>
      <c r="BC4" s="17"/>
      <c r="BD4" s="17"/>
      <c r="BE4" s="17"/>
    </row>
    <row r="5" spans="1:78" ht="18.75" customHeight="1" x14ac:dyDescent="0.25">
      <c r="B5" s="318" t="s">
        <v>67</v>
      </c>
      <c r="C5" s="319"/>
      <c r="D5" s="319"/>
      <c r="E5" s="319"/>
      <c r="F5" s="319"/>
      <c r="G5" s="320"/>
      <c r="H5" s="175"/>
      <c r="I5" s="175"/>
      <c r="J5" s="175"/>
      <c r="K5" s="175"/>
      <c r="L5" s="175"/>
      <c r="M5" s="175"/>
      <c r="N5" s="175"/>
      <c r="O5" s="175"/>
      <c r="P5" s="175"/>
      <c r="Q5" s="175"/>
      <c r="R5" s="175"/>
      <c r="S5" s="175"/>
      <c r="T5" s="175"/>
      <c r="U5" s="175"/>
      <c r="V5" s="175"/>
      <c r="W5" s="175"/>
      <c r="X5" s="175"/>
      <c r="Y5" s="175"/>
      <c r="Z5" s="175"/>
    </row>
    <row r="6" spans="1:78" ht="18.75" customHeight="1" x14ac:dyDescent="0.25">
      <c r="B6" s="318" t="s">
        <v>468</v>
      </c>
      <c r="C6" s="319"/>
      <c r="D6" s="319"/>
      <c r="E6" s="319"/>
      <c r="F6" s="319"/>
      <c r="G6" s="320"/>
      <c r="H6" s="175"/>
      <c r="I6" s="175"/>
      <c r="J6" s="175"/>
      <c r="K6" s="175"/>
      <c r="L6" s="175"/>
      <c r="M6" s="175"/>
      <c r="N6" s="175"/>
      <c r="O6" s="175"/>
      <c r="P6" s="175"/>
      <c r="Q6" s="175"/>
      <c r="R6" s="175"/>
      <c r="S6" s="175"/>
      <c r="T6" s="175"/>
      <c r="U6" s="175"/>
      <c r="V6" s="175"/>
      <c r="W6" s="175"/>
      <c r="X6" s="175"/>
      <c r="Y6" s="175"/>
      <c r="Z6" s="175"/>
    </row>
    <row r="7" spans="1:78" ht="18.75" customHeight="1" x14ac:dyDescent="0.25">
      <c r="B7" s="318" t="s">
        <v>12</v>
      </c>
      <c r="C7" s="319"/>
      <c r="D7" s="319"/>
      <c r="E7" s="319"/>
      <c r="F7" s="319"/>
      <c r="G7" s="320"/>
      <c r="H7" s="175"/>
      <c r="I7" s="175"/>
      <c r="J7" s="175"/>
      <c r="K7" s="175"/>
      <c r="L7" s="175"/>
      <c r="M7" s="175"/>
      <c r="N7" s="175"/>
      <c r="O7" s="175"/>
      <c r="P7" s="175"/>
      <c r="Q7" s="175"/>
      <c r="R7" s="175"/>
      <c r="S7" s="175"/>
      <c r="T7" s="175"/>
      <c r="U7" s="175"/>
      <c r="V7" s="175"/>
      <c r="W7" s="175"/>
      <c r="X7" s="175"/>
      <c r="Y7" s="175"/>
      <c r="Z7" s="175"/>
    </row>
    <row r="8" spans="1:78" ht="18.75" customHeight="1" x14ac:dyDescent="0.25">
      <c r="B8" s="318" t="s">
        <v>13</v>
      </c>
      <c r="C8" s="319"/>
      <c r="D8" s="319"/>
      <c r="E8" s="319"/>
      <c r="F8" s="319"/>
      <c r="G8" s="320"/>
      <c r="H8" s="175"/>
      <c r="I8" s="175"/>
      <c r="J8" s="175"/>
      <c r="K8" s="175"/>
      <c r="L8" s="175"/>
      <c r="M8" s="175"/>
      <c r="N8" s="175"/>
      <c r="O8" s="175"/>
      <c r="P8" s="175"/>
      <c r="Q8" s="175"/>
      <c r="R8" s="175"/>
      <c r="S8" s="175"/>
      <c r="T8" s="175"/>
      <c r="U8" s="175"/>
      <c r="V8" s="175"/>
      <c r="W8" s="175"/>
      <c r="X8" s="175"/>
      <c r="Y8" s="175"/>
      <c r="Z8" s="175"/>
    </row>
    <row r="9" spans="1:78" ht="18.75" customHeight="1" x14ac:dyDescent="0.25">
      <c r="B9" s="153"/>
      <c r="C9" s="152" t="s">
        <v>14</v>
      </c>
      <c r="D9" s="152"/>
      <c r="E9" s="152"/>
      <c r="F9" s="59"/>
      <c r="G9" s="154" t="s">
        <v>15</v>
      </c>
      <c r="H9" s="154"/>
      <c r="I9" s="154"/>
      <c r="J9" s="59"/>
      <c r="K9" s="154" t="s">
        <v>409</v>
      </c>
      <c r="L9" s="59"/>
      <c r="M9" s="154"/>
      <c r="N9" s="154"/>
      <c r="O9" s="154"/>
      <c r="P9" s="154"/>
      <c r="Q9" s="154"/>
      <c r="R9" s="154"/>
      <c r="S9" s="59"/>
      <c r="T9" s="59"/>
      <c r="U9" s="59"/>
      <c r="V9" s="59"/>
      <c r="W9" s="59"/>
      <c r="X9" s="59"/>
      <c r="Y9" s="59"/>
      <c r="Z9" s="155"/>
    </row>
    <row r="10" spans="1:78" ht="18.75" customHeight="1" x14ac:dyDescent="0.25">
      <c r="B10" s="220" t="s">
        <v>480</v>
      </c>
      <c r="C10" s="221"/>
      <c r="D10" s="221"/>
      <c r="E10" s="221"/>
      <c r="F10" s="221"/>
      <c r="G10" s="221"/>
      <c r="H10" s="221"/>
      <c r="I10" s="327"/>
      <c r="J10" s="328" t="str">
        <f ca="1">IF(ISBLANK($H$5),"",OFFSET(Lists!$AI$1,MATCH('RC3'!$G$9,Lists!$AA$2:$AA$4,FALSE),MATCH('RC3'!$H$5,Lists!$AJ$1:$BA$1,1)))</f>
        <v/>
      </c>
      <c r="K10" s="328"/>
      <c r="L10" s="328"/>
      <c r="M10" s="328"/>
      <c r="N10" s="328"/>
      <c r="O10" s="328"/>
      <c r="P10" s="328"/>
      <c r="Q10" s="328"/>
      <c r="R10" s="328"/>
      <c r="S10" s="328"/>
      <c r="T10" s="328"/>
      <c r="U10" s="328"/>
      <c r="V10" s="328"/>
      <c r="W10" s="328"/>
      <c r="X10" s="328"/>
      <c r="Y10" s="328"/>
      <c r="Z10" s="328"/>
      <c r="AA10" s="17"/>
      <c r="AB10" s="17"/>
      <c r="AC10" s="17"/>
      <c r="AD10" s="17"/>
      <c r="AE10" s="17"/>
      <c r="AF10" s="17"/>
      <c r="AG10" s="17"/>
      <c r="AH10" s="17"/>
      <c r="AI10" s="17"/>
      <c r="AJ10" s="17"/>
      <c r="AK10" s="17"/>
      <c r="AL10" s="17"/>
      <c r="AM10" s="17"/>
      <c r="AN10" s="17"/>
      <c r="AO10" s="17"/>
      <c r="AP10" s="17"/>
      <c r="AQ10" s="17"/>
      <c r="AR10" s="17"/>
      <c r="AS10" s="17"/>
      <c r="AT10" s="17"/>
      <c r="AU10" s="17"/>
    </row>
    <row r="11" spans="1:78" ht="18.75" customHeight="1" x14ac:dyDescent="0.25">
      <c r="G11" s="46"/>
      <c r="H11" s="46"/>
      <c r="I11" s="46"/>
      <c r="J11" s="46"/>
      <c r="K11" s="46"/>
      <c r="L11" s="46"/>
      <c r="M11" s="46"/>
      <c r="N11" s="46"/>
      <c r="O11" s="46"/>
      <c r="P11" s="46"/>
      <c r="Q11" s="46"/>
      <c r="R11" s="46"/>
    </row>
    <row r="12" spans="1:78" ht="18.75" customHeight="1" x14ac:dyDescent="0.25">
      <c r="B12" s="321" t="s">
        <v>457</v>
      </c>
      <c r="C12" s="322"/>
      <c r="D12" s="322"/>
      <c r="E12" s="322"/>
      <c r="F12" s="322"/>
      <c r="G12" s="322"/>
      <c r="H12" s="322"/>
      <c r="I12" s="322"/>
      <c r="J12" s="322"/>
      <c r="K12" s="322"/>
      <c r="L12" s="322"/>
      <c r="M12" s="322"/>
      <c r="N12" s="322"/>
      <c r="O12" s="322"/>
      <c r="P12" s="322"/>
      <c r="Q12" s="322"/>
      <c r="R12" s="322"/>
      <c r="S12" s="322"/>
      <c r="T12" s="322"/>
      <c r="U12" s="323"/>
      <c r="W12" s="329" t="s">
        <v>7</v>
      </c>
      <c r="X12" s="329"/>
      <c r="Y12" s="329"/>
      <c r="Z12" s="329"/>
      <c r="AC12" s="17"/>
    </row>
    <row r="13" spans="1:78" ht="18.75" customHeight="1" thickBot="1" x14ac:dyDescent="0.3">
      <c r="A13" s="10"/>
      <c r="B13" s="77" t="str">
        <f>IF($W$12="Yes","**Before continuing, please consult with BPA Technical Staff for assistance**","")</f>
        <v/>
      </c>
      <c r="C13" s="77"/>
      <c r="D13" s="77"/>
      <c r="E13" s="77"/>
      <c r="F13" s="77"/>
      <c r="G13" s="77"/>
      <c r="H13" s="77"/>
      <c r="I13" s="77"/>
      <c r="J13" s="77"/>
      <c r="K13" s="77"/>
      <c r="L13" s="77"/>
      <c r="M13" s="77"/>
      <c r="N13" s="77"/>
      <c r="O13" s="17"/>
      <c r="P13" s="77"/>
      <c r="Q13" s="77"/>
      <c r="AC13" s="17"/>
      <c r="BL13" s="17"/>
      <c r="BM13" s="17"/>
      <c r="BN13" s="17"/>
      <c r="BO13" s="17"/>
      <c r="BP13" s="17"/>
      <c r="BQ13" s="17"/>
      <c r="BR13" s="17"/>
      <c r="BS13" s="17"/>
      <c r="BT13" s="17"/>
      <c r="BU13" s="17"/>
    </row>
    <row r="14" spans="1:78" ht="18.75" customHeight="1" thickBot="1" x14ac:dyDescent="0.3">
      <c r="F14" s="2"/>
      <c r="G14" s="2"/>
      <c r="H14" s="2"/>
      <c r="I14" s="2"/>
      <c r="R14" s="309" t="s">
        <v>22</v>
      </c>
      <c r="S14" s="310"/>
      <c r="T14" s="310"/>
      <c r="U14" s="311"/>
      <c r="W14" s="309" t="s">
        <v>30</v>
      </c>
      <c r="X14" s="310"/>
      <c r="Y14" s="310"/>
      <c r="Z14" s="311"/>
      <c r="BC14" s="17"/>
      <c r="BE14" s="17"/>
      <c r="BF14" s="17"/>
      <c r="BG14" s="17"/>
      <c r="BH14" s="17"/>
      <c r="BI14" s="17"/>
      <c r="BJ14" s="17"/>
      <c r="BK14" s="17"/>
      <c r="BL14" s="17"/>
      <c r="BM14" s="17"/>
      <c r="BN14" s="17"/>
      <c r="BO14" s="17"/>
      <c r="BP14" s="17"/>
      <c r="BQ14" s="17"/>
      <c r="BR14" s="17"/>
      <c r="BS14" s="17"/>
      <c r="BT14" s="17"/>
      <c r="BU14" s="17"/>
    </row>
    <row r="15" spans="1:78" ht="18.75" customHeight="1" thickBot="1" x14ac:dyDescent="0.3">
      <c r="B15" s="324" t="s">
        <v>524</v>
      </c>
      <c r="C15" s="325"/>
      <c r="D15" s="325"/>
      <c r="E15" s="325"/>
      <c r="F15" s="325"/>
      <c r="G15" s="325"/>
      <c r="H15" s="325"/>
      <c r="I15" s="325"/>
      <c r="J15" s="325"/>
      <c r="K15" s="325"/>
      <c r="L15" s="325"/>
      <c r="M15" s="325"/>
      <c r="N15" s="325"/>
      <c r="O15" s="325"/>
      <c r="P15" s="326"/>
      <c r="R15" s="312"/>
      <c r="S15" s="313"/>
      <c r="T15" s="313"/>
      <c r="U15" s="314"/>
      <c r="W15" s="312"/>
      <c r="X15" s="313"/>
      <c r="Y15" s="313"/>
      <c r="Z15" s="314"/>
      <c r="AM15" s="17"/>
      <c r="AN15" s="17"/>
      <c r="AO15" s="17"/>
      <c r="AP15" s="17"/>
      <c r="AQ15" s="17"/>
      <c r="AR15" s="17"/>
      <c r="AS15" s="17"/>
      <c r="AT15" s="17"/>
      <c r="AU15" s="17"/>
      <c r="AV15" s="17"/>
      <c r="AW15" s="17"/>
      <c r="AX15" s="17"/>
      <c r="AY15" s="17"/>
      <c r="AZ15" s="17"/>
      <c r="BA15" s="17"/>
      <c r="BB15" s="17"/>
      <c r="BC15" s="17"/>
      <c r="BD15" s="17"/>
      <c r="BE15" s="17"/>
      <c r="BF15" s="17"/>
    </row>
    <row r="16" spans="1:78" ht="18.75" customHeight="1" x14ac:dyDescent="0.25">
      <c r="B16" s="256" t="s">
        <v>428</v>
      </c>
      <c r="C16" s="256"/>
      <c r="D16" s="256"/>
      <c r="E16" s="256"/>
      <c r="F16" s="256"/>
      <c r="G16" s="256"/>
      <c r="H16" s="256"/>
      <c r="I16" s="256"/>
      <c r="J16" s="256"/>
      <c r="K16" s="256"/>
      <c r="L16" s="256"/>
      <c r="M16" s="256"/>
      <c r="N16" s="256"/>
      <c r="O16" s="256"/>
      <c r="P16" s="256"/>
      <c r="Q16" s="17"/>
      <c r="R16" s="330"/>
      <c r="S16" s="331"/>
      <c r="T16" s="331"/>
      <c r="U16" s="332"/>
      <c r="W16" s="361"/>
      <c r="X16" s="361"/>
      <c r="Y16" s="361"/>
      <c r="Z16" s="361"/>
      <c r="AD16" s="17"/>
      <c r="AW16" s="17"/>
      <c r="AX16" s="17"/>
      <c r="BC16" s="17"/>
      <c r="BD16" s="17"/>
      <c r="BE16" s="17"/>
      <c r="BF16" s="17"/>
    </row>
    <row r="17" spans="1:37" ht="18.75" customHeight="1" x14ac:dyDescent="0.25">
      <c r="B17" s="316" t="s">
        <v>511</v>
      </c>
      <c r="C17" s="316"/>
      <c r="D17" s="316"/>
      <c r="E17" s="316"/>
      <c r="F17" s="316"/>
      <c r="G17" s="316"/>
      <c r="H17" s="316"/>
      <c r="I17" s="316"/>
      <c r="J17" s="316"/>
      <c r="K17" s="316"/>
      <c r="L17" s="316"/>
      <c r="M17" s="316"/>
      <c r="N17" s="316"/>
      <c r="O17" s="316"/>
      <c r="P17" s="316"/>
      <c r="Q17" s="2"/>
      <c r="R17" s="369"/>
      <c r="S17" s="369"/>
      <c r="T17" s="369"/>
      <c r="U17" s="369"/>
      <c r="V17" s="2"/>
      <c r="W17" s="383">
        <f t="shared" ref="W17:W21" si="0">R17</f>
        <v>0</v>
      </c>
      <c r="X17" s="383"/>
      <c r="Y17" s="383"/>
      <c r="Z17" s="383"/>
      <c r="AD17" s="17"/>
    </row>
    <row r="18" spans="1:37" ht="18.75" customHeight="1" x14ac:dyDescent="0.25">
      <c r="B18" s="256" t="s">
        <v>429</v>
      </c>
      <c r="C18" s="256"/>
      <c r="D18" s="256"/>
      <c r="E18" s="256"/>
      <c r="F18" s="256"/>
      <c r="G18" s="256"/>
      <c r="H18" s="256"/>
      <c r="I18" s="256"/>
      <c r="J18" s="256"/>
      <c r="K18" s="256"/>
      <c r="L18" s="256"/>
      <c r="M18" s="256"/>
      <c r="N18" s="256"/>
      <c r="O18" s="256"/>
      <c r="P18" s="256"/>
      <c r="Q18" s="2"/>
      <c r="R18" s="370"/>
      <c r="S18" s="370"/>
      <c r="T18" s="370"/>
      <c r="U18" s="370"/>
      <c r="V18" s="2"/>
      <c r="W18" s="385">
        <f t="shared" si="0"/>
        <v>0</v>
      </c>
      <c r="X18" s="385"/>
      <c r="Y18" s="385"/>
      <c r="Z18" s="385"/>
      <c r="AE18" s="2"/>
    </row>
    <row r="19" spans="1:37" ht="18.75" customHeight="1" x14ac:dyDescent="0.25">
      <c r="B19" s="256" t="s">
        <v>430</v>
      </c>
      <c r="C19" s="256"/>
      <c r="D19" s="256"/>
      <c r="E19" s="256"/>
      <c r="F19" s="256"/>
      <c r="G19" s="256"/>
      <c r="H19" s="256"/>
      <c r="I19" s="256"/>
      <c r="J19" s="256"/>
      <c r="K19" s="256"/>
      <c r="L19" s="256"/>
      <c r="M19" s="256"/>
      <c r="N19" s="256"/>
      <c r="O19" s="256"/>
      <c r="P19" s="256"/>
      <c r="Q19" s="2"/>
      <c r="R19" s="315" t="str">
        <f>IFERROR($R$17/$R$18,"")</f>
        <v/>
      </c>
      <c r="S19" s="315"/>
      <c r="T19" s="315"/>
      <c r="U19" s="315"/>
      <c r="V19" s="7"/>
      <c r="W19" s="363" t="str">
        <f t="shared" si="0"/>
        <v/>
      </c>
      <c r="X19" s="363"/>
      <c r="Y19" s="363"/>
      <c r="Z19" s="363"/>
      <c r="AB19" s="343" t="s">
        <v>670</v>
      </c>
      <c r="AC19" s="344"/>
      <c r="AD19" s="344"/>
      <c r="AE19" s="344"/>
      <c r="AF19" s="344"/>
      <c r="AG19" s="344"/>
      <c r="AH19" s="344"/>
      <c r="AI19" s="344"/>
      <c r="AJ19" s="344"/>
      <c r="AK19" s="345"/>
    </row>
    <row r="20" spans="1:37" ht="18.75" customHeight="1" x14ac:dyDescent="0.25">
      <c r="B20" s="256" t="s">
        <v>512</v>
      </c>
      <c r="C20" s="256"/>
      <c r="D20" s="256"/>
      <c r="E20" s="256"/>
      <c r="F20" s="256"/>
      <c r="G20" s="256"/>
      <c r="H20" s="256"/>
      <c r="I20" s="256"/>
      <c r="J20" s="256"/>
      <c r="K20" s="256"/>
      <c r="L20" s="256"/>
      <c r="M20" s="256"/>
      <c r="N20" s="256"/>
      <c r="O20" s="256"/>
      <c r="P20" s="256"/>
      <c r="Q20" s="2"/>
      <c r="R20" s="365"/>
      <c r="S20" s="366"/>
      <c r="T20" s="366"/>
      <c r="U20" s="367"/>
      <c r="V20" s="61"/>
      <c r="W20" s="384">
        <f t="shared" si="0"/>
        <v>0</v>
      </c>
      <c r="X20" s="384"/>
      <c r="Y20" s="384"/>
      <c r="Z20" s="384"/>
      <c r="AB20" s="346"/>
      <c r="AC20" s="347"/>
      <c r="AD20" s="347"/>
      <c r="AE20" s="347"/>
      <c r="AF20" s="347"/>
      <c r="AG20" s="347"/>
      <c r="AH20" s="347"/>
      <c r="AI20" s="347"/>
      <c r="AJ20" s="347"/>
      <c r="AK20" s="348"/>
    </row>
    <row r="21" spans="1:37" ht="18.75" customHeight="1" x14ac:dyDescent="0.25">
      <c r="B21" s="256" t="s">
        <v>431</v>
      </c>
      <c r="C21" s="256"/>
      <c r="D21" s="256"/>
      <c r="E21" s="256"/>
      <c r="F21" s="256"/>
      <c r="G21" s="256"/>
      <c r="H21" s="256"/>
      <c r="I21" s="256"/>
      <c r="J21" s="256"/>
      <c r="K21" s="256"/>
      <c r="L21" s="256"/>
      <c r="M21" s="256"/>
      <c r="N21" s="256"/>
      <c r="O21" s="256"/>
      <c r="P21" s="256"/>
      <c r="Q21" s="2"/>
      <c r="R21" s="315" t="str">
        <f>IFERROR($R$20/$R$18,"")</f>
        <v/>
      </c>
      <c r="S21" s="315"/>
      <c r="T21" s="315"/>
      <c r="U21" s="315"/>
      <c r="V21" s="7"/>
      <c r="W21" s="363" t="str">
        <f t="shared" si="0"/>
        <v/>
      </c>
      <c r="X21" s="363"/>
      <c r="Y21" s="363"/>
      <c r="Z21" s="363"/>
      <c r="AB21" s="349"/>
      <c r="AC21" s="350"/>
      <c r="AD21" s="350"/>
      <c r="AE21" s="350"/>
      <c r="AF21" s="350"/>
      <c r="AG21" s="350"/>
      <c r="AH21" s="350"/>
      <c r="AI21" s="350"/>
      <c r="AJ21" s="350"/>
      <c r="AK21" s="351"/>
    </row>
    <row r="22" spans="1:37" ht="18.75" customHeight="1" x14ac:dyDescent="0.25">
      <c r="B22" s="2"/>
      <c r="C22" s="2"/>
      <c r="D22" s="2"/>
      <c r="Q22" s="2"/>
      <c r="R22" s="2"/>
      <c r="V22" s="2"/>
      <c r="W22" s="2"/>
      <c r="AB22" s="119"/>
      <c r="AC22" s="119"/>
      <c r="AD22" s="119"/>
      <c r="AE22" s="2"/>
      <c r="AF22" s="17"/>
      <c r="AG22" s="17"/>
      <c r="AH22" s="17"/>
      <c r="AI22" s="17"/>
      <c r="AJ22" s="17"/>
      <c r="AK22" s="119"/>
    </row>
    <row r="23" spans="1:37" ht="18.75" customHeight="1" x14ac:dyDescent="0.25">
      <c r="B23" s="256" t="s">
        <v>432</v>
      </c>
      <c r="C23" s="256"/>
      <c r="D23" s="256"/>
      <c r="E23" s="256"/>
      <c r="F23" s="256"/>
      <c r="G23" s="256"/>
      <c r="H23" s="256"/>
      <c r="I23" s="256"/>
      <c r="J23" s="256"/>
      <c r="K23" s="256"/>
      <c r="L23" s="256"/>
      <c r="M23" s="256"/>
      <c r="N23" s="256"/>
      <c r="O23" s="256"/>
      <c r="P23" s="256"/>
      <c r="Q23" s="2"/>
      <c r="R23" s="368"/>
      <c r="S23" s="368"/>
      <c r="T23" s="368"/>
      <c r="U23" s="368"/>
      <c r="V23" s="82"/>
      <c r="W23" s="382">
        <f>R23</f>
        <v>0</v>
      </c>
      <c r="X23" s="382"/>
      <c r="Y23" s="382"/>
      <c r="Z23" s="382"/>
      <c r="AB23" s="352" t="s">
        <v>669</v>
      </c>
      <c r="AC23" s="353"/>
      <c r="AD23" s="353"/>
      <c r="AE23" s="353"/>
      <c r="AF23" s="353"/>
      <c r="AG23" s="353"/>
      <c r="AH23" s="353"/>
      <c r="AI23" s="353"/>
      <c r="AJ23" s="353"/>
      <c r="AK23" s="354"/>
    </row>
    <row r="24" spans="1:37" ht="18.75" customHeight="1" x14ac:dyDescent="0.25">
      <c r="B24" s="256" t="s">
        <v>470</v>
      </c>
      <c r="C24" s="256"/>
      <c r="D24" s="256"/>
      <c r="E24" s="256"/>
      <c r="F24" s="256"/>
      <c r="G24" s="256"/>
      <c r="H24" s="256"/>
      <c r="I24" s="256"/>
      <c r="J24" s="256"/>
      <c r="K24" s="256"/>
      <c r="L24" s="256"/>
      <c r="M24" s="256"/>
      <c r="N24" s="256"/>
      <c r="O24" s="256"/>
      <c r="P24" s="256"/>
      <c r="Q24" s="2"/>
      <c r="R24" s="372">
        <f>IFERROR(0.85*$R$23^2+0.15*$R$23,"")</f>
        <v>0</v>
      </c>
      <c r="S24" s="372"/>
      <c r="T24" s="372"/>
      <c r="U24" s="372"/>
      <c r="V24" s="2"/>
      <c r="W24" s="372">
        <f>IFERROR(0.85*$W$23^2+0.15*$W$23,"")</f>
        <v>0</v>
      </c>
      <c r="X24" s="372"/>
      <c r="Y24" s="372"/>
      <c r="Z24" s="372"/>
      <c r="AB24" s="355"/>
      <c r="AC24" s="356"/>
      <c r="AD24" s="356"/>
      <c r="AE24" s="356"/>
      <c r="AF24" s="356"/>
      <c r="AG24" s="356"/>
      <c r="AH24" s="356"/>
      <c r="AI24" s="356"/>
      <c r="AJ24" s="356"/>
      <c r="AK24" s="357"/>
    </row>
    <row r="25" spans="1:37" ht="18.75" customHeight="1" x14ac:dyDescent="0.25">
      <c r="B25" s="256" t="s">
        <v>23</v>
      </c>
      <c r="C25" s="256"/>
      <c r="D25" s="256"/>
      <c r="E25" s="256"/>
      <c r="F25" s="256"/>
      <c r="G25" s="256"/>
      <c r="H25" s="256"/>
      <c r="I25" s="256"/>
      <c r="J25" s="256"/>
      <c r="K25" s="256"/>
      <c r="L25" s="256"/>
      <c r="M25" s="256"/>
      <c r="N25" s="256"/>
      <c r="O25" s="256"/>
      <c r="P25" s="256"/>
      <c r="Q25" s="64" t="str">
        <f>IFERROR(R21/R19,"")</f>
        <v/>
      </c>
      <c r="R25" s="372" t="str">
        <f>IFERROR(INDEX('Distribution Factor'!$B$3:$B$53,MATCH($Q$25,'Distribution Factor'!$A$3:$A$53,-1)),"")</f>
        <v/>
      </c>
      <c r="S25" s="372"/>
      <c r="T25" s="372"/>
      <c r="U25" s="372"/>
      <c r="V25" s="65" t="str">
        <f>IFERROR(W21/W19,"")</f>
        <v/>
      </c>
      <c r="W25" s="372" t="str">
        <f>IFERROR(INDEX('Distribution Factor'!$B$3:$B$53,MATCH($V$25,'Distribution Factor'!$A$3:$A$53,-1)),"")</f>
        <v/>
      </c>
      <c r="X25" s="372"/>
      <c r="Y25" s="372"/>
      <c r="Z25" s="372"/>
      <c r="AB25" s="355"/>
      <c r="AC25" s="356"/>
      <c r="AD25" s="356"/>
      <c r="AE25" s="356"/>
      <c r="AF25" s="356"/>
      <c r="AG25" s="356"/>
      <c r="AH25" s="356"/>
      <c r="AI25" s="356"/>
      <c r="AJ25" s="356"/>
      <c r="AK25" s="357"/>
    </row>
    <row r="26" spans="1:37" ht="18.75" customHeight="1" x14ac:dyDescent="0.25">
      <c r="B26" s="36"/>
      <c r="C26" s="36"/>
      <c r="D26" s="36"/>
      <c r="E26" s="36"/>
      <c r="F26" s="36"/>
      <c r="G26" s="36"/>
      <c r="H26" s="36"/>
      <c r="I26" s="36"/>
      <c r="J26" s="36"/>
      <c r="K26" s="36"/>
      <c r="L26" s="36"/>
      <c r="M26" s="35"/>
      <c r="N26" s="35"/>
      <c r="O26" s="35"/>
      <c r="P26" s="35"/>
      <c r="Q26" s="2"/>
      <c r="R26" s="2"/>
      <c r="V26" s="2"/>
      <c r="W26" s="2"/>
      <c r="AB26" s="355"/>
      <c r="AC26" s="356"/>
      <c r="AD26" s="356"/>
      <c r="AE26" s="356"/>
      <c r="AF26" s="356"/>
      <c r="AG26" s="356"/>
      <c r="AH26" s="356"/>
      <c r="AI26" s="356"/>
      <c r="AJ26" s="356"/>
      <c r="AK26" s="357"/>
    </row>
    <row r="27" spans="1:37" ht="18.75" customHeight="1" x14ac:dyDescent="0.25">
      <c r="B27" s="256" t="s">
        <v>433</v>
      </c>
      <c r="C27" s="256"/>
      <c r="D27" s="256"/>
      <c r="E27" s="256"/>
      <c r="F27" s="256"/>
      <c r="G27" s="256"/>
      <c r="H27" s="256"/>
      <c r="I27" s="256"/>
      <c r="J27" s="256"/>
      <c r="K27" s="256"/>
      <c r="L27" s="256"/>
      <c r="M27" s="256"/>
      <c r="N27" s="256"/>
      <c r="O27" s="256"/>
      <c r="P27" s="256"/>
      <c r="Q27" s="2"/>
      <c r="R27" s="371"/>
      <c r="S27" s="371"/>
      <c r="T27" s="371"/>
      <c r="U27" s="371"/>
      <c r="V27" s="2"/>
      <c r="W27" s="371"/>
      <c r="X27" s="371"/>
      <c r="Y27" s="371"/>
      <c r="Z27" s="371"/>
      <c r="AB27" s="358"/>
      <c r="AC27" s="359"/>
      <c r="AD27" s="359"/>
      <c r="AE27" s="359"/>
      <c r="AF27" s="359"/>
      <c r="AG27" s="359"/>
      <c r="AH27" s="359"/>
      <c r="AI27" s="359"/>
      <c r="AJ27" s="359"/>
      <c r="AK27" s="360"/>
    </row>
    <row r="28" spans="1:37" ht="18.75" customHeight="1" x14ac:dyDescent="0.25">
      <c r="B28" s="2"/>
      <c r="C28" s="2"/>
      <c r="D28" s="2"/>
      <c r="Q28" s="2"/>
      <c r="R28" s="2"/>
      <c r="V28" s="2"/>
      <c r="W28" s="2"/>
      <c r="AB28" s="119"/>
      <c r="AC28" s="119"/>
      <c r="AD28" s="119"/>
      <c r="AE28" s="2"/>
      <c r="AF28" s="119"/>
      <c r="AG28" s="119"/>
      <c r="AH28" s="119"/>
      <c r="AI28" s="119"/>
      <c r="AJ28" s="119"/>
      <c r="AK28" s="119"/>
    </row>
    <row r="29" spans="1:37" ht="18.75" customHeight="1" x14ac:dyDescent="0.25">
      <c r="B29" s="256" t="s">
        <v>24</v>
      </c>
      <c r="C29" s="256"/>
      <c r="D29" s="256"/>
      <c r="E29" s="256"/>
      <c r="F29" s="256"/>
      <c r="G29" s="256"/>
      <c r="H29" s="256"/>
      <c r="I29" s="256"/>
      <c r="J29" s="256"/>
      <c r="K29" s="256"/>
      <c r="L29" s="256"/>
      <c r="M29" s="256"/>
      <c r="N29" s="256"/>
      <c r="O29" s="256"/>
      <c r="P29" s="256"/>
      <c r="Q29" s="2"/>
      <c r="R29" s="255" t="s">
        <v>3</v>
      </c>
      <c r="S29" s="255"/>
      <c r="T29" s="255"/>
      <c r="U29" s="255"/>
      <c r="V29" s="2"/>
      <c r="W29" s="255" t="s">
        <v>3</v>
      </c>
      <c r="X29" s="255"/>
      <c r="Y29" s="255"/>
      <c r="Z29" s="255"/>
      <c r="AB29" s="119"/>
      <c r="AC29" s="119"/>
      <c r="AD29" s="119"/>
      <c r="AE29" s="2"/>
      <c r="AF29" s="119"/>
      <c r="AG29" s="119"/>
      <c r="AH29" s="119"/>
      <c r="AI29" s="119"/>
      <c r="AJ29" s="119"/>
      <c r="AK29" s="119"/>
    </row>
    <row r="30" spans="1:37" ht="18.75" customHeight="1" x14ac:dyDescent="0.25">
      <c r="B30" s="256" t="s">
        <v>25</v>
      </c>
      <c r="C30" s="256"/>
      <c r="D30" s="256"/>
      <c r="E30" s="256"/>
      <c r="F30" s="256"/>
      <c r="G30" s="256"/>
      <c r="H30" s="256"/>
      <c r="I30" s="256"/>
      <c r="J30" s="256"/>
      <c r="K30" s="256"/>
      <c r="L30" s="256"/>
      <c r="M30" s="256"/>
      <c r="N30" s="256"/>
      <c r="O30" s="256"/>
      <c r="P30" s="256"/>
      <c r="Q30" s="2"/>
      <c r="R30" s="255" t="s">
        <v>3</v>
      </c>
      <c r="S30" s="255"/>
      <c r="T30" s="255"/>
      <c r="U30" s="255"/>
      <c r="V30" s="2"/>
      <c r="W30" s="255" t="s">
        <v>3</v>
      </c>
      <c r="X30" s="255"/>
      <c r="Y30" s="255"/>
      <c r="Z30" s="255"/>
      <c r="AB30" s="119"/>
      <c r="AC30" s="119"/>
      <c r="AD30" s="17"/>
      <c r="AE30" s="2"/>
      <c r="AF30" s="119"/>
      <c r="AG30" s="119"/>
      <c r="AH30" s="119"/>
      <c r="AI30" s="119"/>
      <c r="AJ30" s="119"/>
      <c r="AK30" s="119"/>
    </row>
    <row r="31" spans="1:37" ht="18.75" customHeight="1" x14ac:dyDescent="0.25">
      <c r="A31" s="10"/>
      <c r="B31" s="336" t="str">
        <f>IFERROR(IF(OR($R$29+$R$30&lt;2,$W$29+$W$30&lt;2),"**Phase plus neutral conductors must add to 2 or more**",""),"")</f>
        <v/>
      </c>
      <c r="C31" s="336"/>
      <c r="D31" s="336"/>
      <c r="E31" s="336"/>
      <c r="F31" s="336"/>
      <c r="G31" s="336"/>
      <c r="H31" s="336"/>
      <c r="I31" s="336"/>
      <c r="J31" s="336"/>
      <c r="K31" s="336"/>
      <c r="L31" s="336"/>
      <c r="M31" s="336"/>
      <c r="N31" s="336"/>
      <c r="O31" s="336"/>
      <c r="P31" s="336"/>
      <c r="Q31" s="2"/>
      <c r="R31" s="340"/>
      <c r="S31" s="341"/>
      <c r="T31" s="341"/>
      <c r="U31" s="342"/>
      <c r="V31" s="2"/>
      <c r="W31" s="2"/>
      <c r="AB31" s="119"/>
      <c r="AC31" s="119"/>
      <c r="AD31" s="119"/>
      <c r="AE31" s="2"/>
      <c r="AF31" s="119"/>
      <c r="AG31" s="119"/>
      <c r="AH31" s="119"/>
      <c r="AI31" s="119"/>
      <c r="AJ31" s="119"/>
      <c r="AK31" s="119"/>
    </row>
    <row r="32" spans="1:37" ht="18.75" customHeight="1" x14ac:dyDescent="0.25">
      <c r="B32" s="256" t="s">
        <v>27</v>
      </c>
      <c r="C32" s="256"/>
      <c r="D32" s="256"/>
      <c r="E32" s="256"/>
      <c r="F32" s="256"/>
      <c r="G32" s="256"/>
      <c r="H32" s="256"/>
      <c r="I32" s="256"/>
      <c r="J32" s="256"/>
      <c r="K32" s="256"/>
      <c r="L32" s="256"/>
      <c r="M32" s="256"/>
      <c r="N32" s="256"/>
      <c r="O32" s="256"/>
      <c r="P32" s="256"/>
      <c r="Q32" s="2"/>
      <c r="R32" s="333" t="s">
        <v>3</v>
      </c>
      <c r="S32" s="333"/>
      <c r="T32" s="333"/>
      <c r="U32" s="333"/>
      <c r="V32" s="2"/>
      <c r="W32" s="255" t="s">
        <v>3</v>
      </c>
      <c r="X32" s="255"/>
      <c r="Y32" s="255"/>
      <c r="Z32" s="255"/>
      <c r="AB32" s="119"/>
      <c r="AC32" s="119"/>
      <c r="AD32" s="119"/>
      <c r="AE32" s="2"/>
      <c r="AF32" s="119"/>
      <c r="AG32" s="119"/>
      <c r="AH32" s="119"/>
      <c r="AI32" s="119"/>
      <c r="AJ32" s="119"/>
      <c r="AK32" s="119"/>
    </row>
    <row r="33" spans="2:61" ht="18.75" customHeight="1" x14ac:dyDescent="0.25">
      <c r="B33" s="256" t="s">
        <v>26</v>
      </c>
      <c r="C33" s="256"/>
      <c r="D33" s="256"/>
      <c r="E33" s="256"/>
      <c r="F33" s="256"/>
      <c r="G33" s="256"/>
      <c r="H33" s="256"/>
      <c r="I33" s="256"/>
      <c r="J33" s="256"/>
      <c r="K33" s="256"/>
      <c r="L33" s="256"/>
      <c r="M33" s="256"/>
      <c r="N33" s="256"/>
      <c r="O33" s="256"/>
      <c r="P33" s="256"/>
      <c r="Q33" s="2"/>
      <c r="R33" s="172" t="s">
        <v>3</v>
      </c>
      <c r="S33" s="172"/>
      <c r="T33" s="172"/>
      <c r="U33" s="172"/>
      <c r="V33" s="2"/>
      <c r="W33" s="255" t="s">
        <v>3</v>
      </c>
      <c r="X33" s="255"/>
      <c r="Y33" s="255"/>
      <c r="Z33" s="255"/>
      <c r="AB33" s="119"/>
      <c r="AC33" s="119"/>
      <c r="AD33" s="119"/>
      <c r="AE33" s="17"/>
      <c r="AF33" s="2"/>
      <c r="AG33" s="119"/>
      <c r="AH33" s="119"/>
      <c r="AI33" s="119"/>
      <c r="AJ33" s="119"/>
      <c r="AK33" s="119"/>
    </row>
    <row r="34" spans="2:61" ht="18.75" customHeight="1" x14ac:dyDescent="0.25">
      <c r="B34" s="256" t="s">
        <v>109</v>
      </c>
      <c r="C34" s="256"/>
      <c r="D34" s="256"/>
      <c r="E34" s="256"/>
      <c r="F34" s="256"/>
      <c r="G34" s="256"/>
      <c r="H34" s="256"/>
      <c r="I34" s="256"/>
      <c r="J34" s="256"/>
      <c r="K34" s="256"/>
      <c r="L34" s="256"/>
      <c r="M34" s="256"/>
      <c r="N34" s="256"/>
      <c r="O34" s="256"/>
      <c r="P34" s="256"/>
      <c r="Q34" s="2"/>
      <c r="R34" s="257" t="str">
        <f ca="1">IFERROR(VLOOKUP($R$33,INDIRECT($R$32&amp;"T"),2,),"")</f>
        <v/>
      </c>
      <c r="S34" s="257"/>
      <c r="T34" s="257"/>
      <c r="U34" s="257"/>
      <c r="V34" s="2"/>
      <c r="W34" s="257" t="str">
        <f ca="1">IFERROR(VLOOKUP($W$33,INDIRECT($W$32&amp;"T"),2,),"")</f>
        <v/>
      </c>
      <c r="X34" s="257"/>
      <c r="Y34" s="257"/>
      <c r="Z34" s="257"/>
      <c r="AB34" s="119"/>
      <c r="AC34" s="119"/>
      <c r="AD34" s="17"/>
      <c r="AE34" s="17"/>
      <c r="AF34" s="119"/>
      <c r="AG34" s="17"/>
      <c r="AH34" s="119"/>
      <c r="AI34" s="119"/>
      <c r="AJ34" s="119"/>
      <c r="AK34" s="119"/>
    </row>
    <row r="35" spans="2:61" ht="18.75" customHeight="1" x14ac:dyDescent="0.25">
      <c r="Q35" s="2"/>
      <c r="R35" s="2"/>
      <c r="S35" s="2"/>
      <c r="V35" s="2"/>
      <c r="W35" s="2"/>
      <c r="AB35" s="119"/>
      <c r="AC35" s="119"/>
      <c r="AD35" s="119"/>
      <c r="AE35" s="119"/>
      <c r="AF35" s="119"/>
      <c r="AG35" s="119"/>
      <c r="AH35" s="119"/>
      <c r="AI35" s="119"/>
      <c r="AJ35" s="119"/>
      <c r="AK35" s="119"/>
    </row>
    <row r="36" spans="2:61" ht="18.75" customHeight="1" x14ac:dyDescent="0.25">
      <c r="B36" s="256" t="s">
        <v>29</v>
      </c>
      <c r="C36" s="256"/>
      <c r="D36" s="256"/>
      <c r="E36" s="256"/>
      <c r="F36" s="256"/>
      <c r="G36" s="256"/>
      <c r="H36" s="256"/>
      <c r="I36" s="256"/>
      <c r="J36" s="256"/>
      <c r="K36" s="256"/>
      <c r="L36" s="256"/>
      <c r="M36" s="256"/>
      <c r="N36" s="256"/>
      <c r="O36" s="256"/>
      <c r="P36" s="256"/>
      <c r="Q36" s="2"/>
      <c r="R36" s="333" t="s">
        <v>3</v>
      </c>
      <c r="S36" s="333"/>
      <c r="T36" s="333"/>
      <c r="U36" s="333"/>
      <c r="V36" s="2"/>
      <c r="W36" s="255" t="s">
        <v>3</v>
      </c>
      <c r="X36" s="255"/>
      <c r="Y36" s="255"/>
      <c r="Z36" s="255"/>
      <c r="AB36" s="119"/>
      <c r="AC36" s="119"/>
      <c r="AD36" s="119"/>
      <c r="AE36" s="2"/>
      <c r="AF36" s="119"/>
      <c r="AG36" s="119"/>
      <c r="AH36" s="119"/>
      <c r="AI36" s="119"/>
      <c r="AJ36" s="119"/>
      <c r="AK36" s="119"/>
    </row>
    <row r="37" spans="2:61" ht="18.75" customHeight="1" x14ac:dyDescent="0.25">
      <c r="B37" s="256" t="s">
        <v>28</v>
      </c>
      <c r="C37" s="256"/>
      <c r="D37" s="256"/>
      <c r="E37" s="256"/>
      <c r="F37" s="256"/>
      <c r="G37" s="256"/>
      <c r="H37" s="256"/>
      <c r="I37" s="256"/>
      <c r="J37" s="256"/>
      <c r="K37" s="256"/>
      <c r="L37" s="256"/>
      <c r="M37" s="256"/>
      <c r="N37" s="256"/>
      <c r="O37" s="256"/>
      <c r="P37" s="256"/>
      <c r="Q37" s="2"/>
      <c r="R37" s="255" t="s">
        <v>3</v>
      </c>
      <c r="S37" s="255"/>
      <c r="T37" s="255"/>
      <c r="U37" s="255"/>
      <c r="V37" s="2"/>
      <c r="W37" s="255" t="s">
        <v>3</v>
      </c>
      <c r="X37" s="255"/>
      <c r="Y37" s="255"/>
      <c r="Z37" s="255"/>
      <c r="AB37" s="119"/>
      <c r="AC37" s="119"/>
      <c r="AD37" s="119"/>
      <c r="AE37" s="2"/>
      <c r="AF37" s="119"/>
      <c r="AG37" s="119"/>
      <c r="AH37" s="119"/>
      <c r="AI37" s="119"/>
      <c r="AJ37" s="119"/>
      <c r="AK37" s="119"/>
    </row>
    <row r="38" spans="2:61" ht="18.75" customHeight="1" x14ac:dyDescent="0.25">
      <c r="B38" s="256" t="s">
        <v>109</v>
      </c>
      <c r="C38" s="256"/>
      <c r="D38" s="256"/>
      <c r="E38" s="256"/>
      <c r="F38" s="256"/>
      <c r="G38" s="256"/>
      <c r="H38" s="256"/>
      <c r="I38" s="256"/>
      <c r="J38" s="256"/>
      <c r="K38" s="256"/>
      <c r="L38" s="256"/>
      <c r="M38" s="256"/>
      <c r="N38" s="256"/>
      <c r="O38" s="256"/>
      <c r="P38" s="256"/>
      <c r="R38" s="257" t="str">
        <f ca="1">IFERROR(VLOOKUP($R$37,INDIRECT($R$36&amp;"T"),2,),"")</f>
        <v/>
      </c>
      <c r="S38" s="257"/>
      <c r="T38" s="257"/>
      <c r="U38" s="257"/>
      <c r="W38" s="257" t="str">
        <f ca="1">IFERROR(VLOOKUP($W$37,INDIRECT($W$36&amp;"T"),2,),"")</f>
        <v/>
      </c>
      <c r="X38" s="257"/>
      <c r="Y38" s="257"/>
      <c r="Z38" s="257"/>
      <c r="AB38" s="119"/>
      <c r="AC38" s="119"/>
      <c r="AD38" s="119"/>
      <c r="AE38" s="119"/>
      <c r="AF38" s="119"/>
      <c r="AG38" s="119"/>
      <c r="AH38" s="119"/>
      <c r="AI38" s="119"/>
      <c r="AJ38" s="119"/>
      <c r="AK38" s="119"/>
    </row>
    <row r="39" spans="2:61" ht="18.75" customHeight="1" x14ac:dyDescent="0.25">
      <c r="B39" s="2"/>
      <c r="C39" s="2"/>
      <c r="D39" s="2"/>
      <c r="S39" s="2"/>
      <c r="AB39" s="119"/>
      <c r="AC39" s="119"/>
      <c r="AD39" s="119"/>
      <c r="AE39" s="119"/>
      <c r="AF39" s="119"/>
      <c r="AG39" s="119"/>
      <c r="AH39" s="119"/>
      <c r="AI39" s="119"/>
      <c r="AJ39" s="119"/>
      <c r="AK39" s="119"/>
    </row>
    <row r="40" spans="2:61" ht="18.75" customHeight="1" x14ac:dyDescent="0.25">
      <c r="B40" s="256" t="s">
        <v>471</v>
      </c>
      <c r="C40" s="256"/>
      <c r="D40" s="256"/>
      <c r="E40" s="256"/>
      <c r="F40" s="256"/>
      <c r="G40" s="256"/>
      <c r="H40" s="256"/>
      <c r="I40" s="256"/>
      <c r="J40" s="256"/>
      <c r="K40" s="256"/>
      <c r="L40" s="256"/>
      <c r="M40" s="256"/>
      <c r="N40" s="256"/>
      <c r="O40" s="256"/>
      <c r="P40" s="256"/>
      <c r="R40" s="294" t="str">
        <f ca="1">IFERROR(VLOOKUP($R$33,INDIRECT($R$32&amp;"T"),2,)*$W$16,"")</f>
        <v/>
      </c>
      <c r="S40" s="294"/>
      <c r="T40" s="294"/>
      <c r="U40" s="294"/>
      <c r="W40" s="294" t="str">
        <f ca="1">IFERROR(VLOOKUP($W$33,INDIRECT($W$32&amp;"T"),2,)*$W$16,"")</f>
        <v/>
      </c>
      <c r="X40" s="294"/>
      <c r="Y40" s="294"/>
      <c r="Z40" s="294"/>
      <c r="AB40" s="119"/>
      <c r="AC40" s="119"/>
      <c r="AD40" s="119"/>
      <c r="AE40" s="2"/>
      <c r="AF40" s="119"/>
      <c r="AG40" s="119"/>
      <c r="AH40" s="119"/>
      <c r="AI40" s="119"/>
      <c r="AJ40" s="119"/>
      <c r="AK40" s="119"/>
    </row>
    <row r="41" spans="2:61" ht="18.75" customHeight="1" x14ac:dyDescent="0.25">
      <c r="B41" s="256" t="s">
        <v>472</v>
      </c>
      <c r="C41" s="256"/>
      <c r="D41" s="256"/>
      <c r="E41" s="256"/>
      <c r="F41" s="256"/>
      <c r="G41" s="256"/>
      <c r="H41" s="256"/>
      <c r="I41" s="256"/>
      <c r="J41" s="256"/>
      <c r="K41" s="256"/>
      <c r="L41" s="256"/>
      <c r="M41" s="256"/>
      <c r="N41" s="256"/>
      <c r="O41" s="256"/>
      <c r="P41" s="256"/>
      <c r="R41" s="294">
        <f ca="1">IFERROR(VLOOKUP($R$37,INDIRECT($R$36&amp;"T"),2,)*$W$16,0)</f>
        <v>0</v>
      </c>
      <c r="S41" s="294"/>
      <c r="T41" s="294"/>
      <c r="U41" s="294"/>
      <c r="W41" s="294">
        <f ca="1">IFERROR(VLOOKUP($W$37,INDIRECT($W$36&amp;"T"),2,)*$W$16,0)</f>
        <v>0</v>
      </c>
      <c r="X41" s="294"/>
      <c r="Y41" s="294"/>
      <c r="Z41" s="294"/>
      <c r="AB41" s="119"/>
      <c r="AC41" s="119"/>
      <c r="AD41" s="119"/>
      <c r="AE41" s="2"/>
      <c r="AF41" s="119"/>
      <c r="AG41" s="119"/>
      <c r="AH41" s="119"/>
      <c r="AI41" s="119"/>
      <c r="AJ41" s="119"/>
      <c r="AK41" s="119"/>
    </row>
    <row r="42" spans="2:61" ht="18.75" customHeight="1" x14ac:dyDescent="0.25">
      <c r="B42" s="34"/>
      <c r="C42" s="34"/>
      <c r="D42" s="34"/>
      <c r="E42" s="34"/>
      <c r="F42" s="34"/>
      <c r="G42" s="34"/>
      <c r="H42" s="34"/>
      <c r="I42" s="34"/>
      <c r="J42" s="34"/>
      <c r="K42" s="34"/>
      <c r="L42" s="34"/>
      <c r="M42" s="34"/>
      <c r="N42" s="34"/>
      <c r="O42" s="34"/>
      <c r="P42" s="34"/>
      <c r="AB42" s="119"/>
      <c r="AC42" s="119"/>
      <c r="AD42" s="119"/>
      <c r="AE42" s="2"/>
      <c r="AF42" s="119"/>
      <c r="AG42" s="119"/>
      <c r="AH42" s="119"/>
      <c r="AI42" s="119"/>
      <c r="AJ42" s="119"/>
      <c r="AK42" s="119"/>
    </row>
    <row r="43" spans="2:61" ht="18.75" customHeight="1" x14ac:dyDescent="0.25">
      <c r="B43" s="286" t="s">
        <v>469</v>
      </c>
      <c r="C43" s="286"/>
      <c r="D43" s="286"/>
      <c r="E43" s="286"/>
      <c r="F43" s="286"/>
      <c r="G43" s="286"/>
      <c r="H43" s="286"/>
      <c r="I43" s="286"/>
      <c r="J43" s="286"/>
      <c r="K43" s="286"/>
      <c r="L43" s="286"/>
      <c r="M43" s="34"/>
      <c r="N43" s="34"/>
      <c r="R43" s="261" t="s">
        <v>7</v>
      </c>
      <c r="S43" s="262"/>
      <c r="T43" s="262"/>
      <c r="U43" s="263"/>
      <c r="Z43" s="17"/>
      <c r="AA43" s="17"/>
      <c r="AB43" s="343" t="s">
        <v>687</v>
      </c>
      <c r="AC43" s="344"/>
      <c r="AD43" s="344"/>
      <c r="AE43" s="344"/>
      <c r="AF43" s="344"/>
      <c r="AG43" s="344"/>
      <c r="AH43" s="344"/>
      <c r="AI43" s="344"/>
      <c r="AJ43" s="344"/>
      <c r="AK43" s="345"/>
    </row>
    <row r="44" spans="2:61" ht="18.75" customHeight="1" x14ac:dyDescent="0.25">
      <c r="B44" s="78"/>
      <c r="C44" s="78"/>
      <c r="D44" s="78"/>
      <c r="E44" s="78"/>
      <c r="F44" s="78"/>
      <c r="G44" s="78"/>
      <c r="H44" s="78"/>
      <c r="I44" s="78"/>
      <c r="M44" s="34"/>
      <c r="N44" s="34"/>
      <c r="R44" s="79"/>
      <c r="AB44" s="346"/>
      <c r="AC44" s="347"/>
      <c r="AD44" s="347"/>
      <c r="AE44" s="347"/>
      <c r="AF44" s="347"/>
      <c r="AG44" s="347"/>
      <c r="AH44" s="347"/>
      <c r="AI44" s="347"/>
      <c r="AJ44" s="347"/>
      <c r="AK44" s="348"/>
      <c r="BC44" s="32"/>
      <c r="BD44" s="32"/>
      <c r="BE44" s="32"/>
      <c r="BF44" s="32"/>
      <c r="BG44" s="32"/>
      <c r="BH44" s="32"/>
      <c r="BI44" s="32"/>
    </row>
    <row r="45" spans="2:61" ht="18.75" customHeight="1" x14ac:dyDescent="0.25">
      <c r="J45" s="264" t="s">
        <v>397</v>
      </c>
      <c r="K45" s="265"/>
      <c r="L45" s="266"/>
      <c r="M45" s="34"/>
      <c r="N45" s="264" t="s">
        <v>398</v>
      </c>
      <c r="O45" s="265"/>
      <c r="P45" s="266"/>
      <c r="AB45" s="346"/>
      <c r="AC45" s="347"/>
      <c r="AD45" s="347"/>
      <c r="AE45" s="347"/>
      <c r="AF45" s="347"/>
      <c r="AG45" s="347"/>
      <c r="AH45" s="347"/>
      <c r="AI45" s="347"/>
      <c r="AJ45" s="347"/>
      <c r="AK45" s="348"/>
      <c r="AP45" s="17"/>
      <c r="AR45" s="17"/>
      <c r="AS45" s="89"/>
      <c r="AT45" s="17"/>
      <c r="AU45" s="17"/>
      <c r="AV45" s="17"/>
      <c r="AW45" s="17"/>
      <c r="AX45" s="17"/>
      <c r="AY45" s="17"/>
      <c r="AZ45" s="17"/>
      <c r="BA45" s="17"/>
    </row>
    <row r="46" spans="2:61" ht="18.75" customHeight="1" x14ac:dyDescent="0.25">
      <c r="B46" s="2"/>
      <c r="C46" s="2"/>
      <c r="D46" s="2"/>
      <c r="J46" s="267"/>
      <c r="K46" s="268"/>
      <c r="L46" s="269"/>
      <c r="N46" s="267"/>
      <c r="O46" s="268"/>
      <c r="P46" s="269"/>
      <c r="R46" s="23"/>
      <c r="W46" s="23"/>
      <c r="AB46" s="349"/>
      <c r="AC46" s="350"/>
      <c r="AD46" s="350"/>
      <c r="AE46" s="350"/>
      <c r="AF46" s="350"/>
      <c r="AG46" s="350"/>
      <c r="AH46" s="350"/>
      <c r="AI46" s="350"/>
      <c r="AJ46" s="350"/>
      <c r="AK46" s="351"/>
    </row>
    <row r="47" spans="2:61" ht="18.75" customHeight="1" x14ac:dyDescent="0.25">
      <c r="B47" s="258" t="s">
        <v>434</v>
      </c>
      <c r="C47" s="259"/>
      <c r="D47" s="259"/>
      <c r="E47" s="259"/>
      <c r="F47" s="259"/>
      <c r="G47" s="259"/>
      <c r="H47" s="260"/>
      <c r="J47" s="337"/>
      <c r="K47" s="338"/>
      <c r="L47" s="339"/>
      <c r="N47" s="274">
        <f>IF(J47="",0,J47)</f>
        <v>0</v>
      </c>
      <c r="O47" s="275"/>
      <c r="P47" s="276"/>
      <c r="R47" s="270" t="str">
        <f>IFERROR(IF($R$43="No",$R$19/($R$29*$R$27),""),"")</f>
        <v/>
      </c>
      <c r="S47" s="270"/>
      <c r="T47" s="270"/>
      <c r="U47" s="270"/>
      <c r="W47" s="270" t="str">
        <f>IFERROR(IF($R$43="No",$W$19/($W$29*$W$27),""),"")</f>
        <v/>
      </c>
      <c r="X47" s="270"/>
      <c r="Y47" s="270"/>
      <c r="Z47" s="270"/>
      <c r="AO47" s="2"/>
    </row>
    <row r="48" spans="2:61" ht="18.75" customHeight="1" x14ac:dyDescent="0.25">
      <c r="B48" s="258" t="s">
        <v>435</v>
      </c>
      <c r="C48" s="259"/>
      <c r="D48" s="259"/>
      <c r="E48" s="259"/>
      <c r="F48" s="259"/>
      <c r="G48" s="259"/>
      <c r="H48" s="260"/>
      <c r="J48" s="337"/>
      <c r="K48" s="338"/>
      <c r="L48" s="339"/>
      <c r="N48" s="274">
        <f>J48</f>
        <v>0</v>
      </c>
      <c r="O48" s="275"/>
      <c r="P48" s="276"/>
      <c r="R48" s="270" t="str">
        <f>IFERROR(IF(AND($R$29&gt;=2,$R$43="No"), $R$19/($R$29*$R$27), 0),"")</f>
        <v/>
      </c>
      <c r="S48" s="270"/>
      <c r="T48" s="270"/>
      <c r="U48" s="270"/>
      <c r="W48" s="270" t="str">
        <f>IFERROR(IF(AND($W$29&gt;=2,$R$43="No"), $W$19/($W$29*$W$27), 0),"")</f>
        <v/>
      </c>
      <c r="X48" s="270"/>
      <c r="Y48" s="270"/>
      <c r="Z48" s="270"/>
      <c r="AO48" s="2"/>
    </row>
    <row r="49" spans="1:54" ht="18.75" customHeight="1" x14ac:dyDescent="0.25">
      <c r="B49" s="258" t="s">
        <v>436</v>
      </c>
      <c r="C49" s="259"/>
      <c r="D49" s="259"/>
      <c r="E49" s="259"/>
      <c r="F49" s="259"/>
      <c r="G49" s="259"/>
      <c r="H49" s="260"/>
      <c r="J49" s="337"/>
      <c r="K49" s="338"/>
      <c r="L49" s="339"/>
      <c r="N49" s="274">
        <f t="shared" ref="N49" si="1">J49</f>
        <v>0</v>
      </c>
      <c r="O49" s="275"/>
      <c r="P49" s="276"/>
      <c r="R49" s="270" t="str">
        <f>IFERROR(IF(AND($R$29&gt;=3,$R$43="No"), $R$19/($R$29*$R$27), 0),"")</f>
        <v/>
      </c>
      <c r="S49" s="270"/>
      <c r="T49" s="270"/>
      <c r="U49" s="270"/>
      <c r="W49" s="270" t="str">
        <f>IFERROR(IF(AND($W$29&gt;=3,$R$43="No"), $W$19/($W$29*$W$27), 0),"")</f>
        <v/>
      </c>
      <c r="X49" s="270"/>
      <c r="Y49" s="270"/>
      <c r="Z49" s="270"/>
      <c r="AD49" s="10"/>
      <c r="AO49" s="2"/>
    </row>
    <row r="50" spans="1:54" ht="18.75" customHeight="1" x14ac:dyDescent="0.25">
      <c r="B50" s="258" t="s">
        <v>437</v>
      </c>
      <c r="C50" s="259"/>
      <c r="D50" s="259"/>
      <c r="E50" s="259"/>
      <c r="F50" s="259"/>
      <c r="G50" s="259"/>
      <c r="H50" s="260"/>
      <c r="J50" s="274">
        <f>IFERROR(IF(OR(R30=0,R30="--Select--"),0,IF(AND(R29=1,R30=1),J47,IF(MAX($J$47:$L$49)/MIN(J47:L49)&gt;1.15, SQRT($J$47^2+$J$48^2+$J$49^2-$J$47*$J$48-$J$48*$J$49-$J$49*$J$47),$J$47*0.15))),"")</f>
        <v>0</v>
      </c>
      <c r="K50" s="275"/>
      <c r="L50" s="276"/>
      <c r="N50" s="274">
        <f>IFERROR(IF(OR(W30=0,W30="--Select--"),0,IF(AND(W29=1,W30=1),N47,IF(MAX($N$47:$P$49)/MIN(N47:P49)&gt;1.15, SQRT($N$47^2+$N$48^2+$N$49^2-$N$47*$N$48-$N$48*$N$49-$N$49*$N$47),$N$47*0.15))),"")</f>
        <v>0</v>
      </c>
      <c r="O50" s="275"/>
      <c r="P50" s="276"/>
      <c r="R50" s="270">
        <f>IFERROR(IF(OR(R30=0,R30="--Select--",R43="Yes"),0,IF(AND(R29=1,R30=1),R47,0.15*$R$47)),"")</f>
        <v>0</v>
      </c>
      <c r="S50" s="270"/>
      <c r="T50" s="270"/>
      <c r="U50" s="270"/>
      <c r="W50" s="270">
        <f>IFERROR(IF(OR(W30=0,W30="--Select--",R43="Yes"),0,IF(AND(W29=1,W30=1),W47,0.15*$W$47)),"")</f>
        <v>0</v>
      </c>
      <c r="X50" s="270"/>
      <c r="Y50" s="270"/>
      <c r="Z50" s="270"/>
      <c r="AD50" s="17"/>
      <c r="AM50" s="6"/>
      <c r="AO50" s="2"/>
      <c r="BA50" s="17"/>
      <c r="BB50" s="17"/>
    </row>
    <row r="51" spans="1:54" ht="18.75" customHeight="1" x14ac:dyDescent="0.25">
      <c r="B51" s="258" t="s">
        <v>538</v>
      </c>
      <c r="C51" s="259"/>
      <c r="D51" s="259"/>
      <c r="E51" s="259"/>
      <c r="F51" s="259"/>
      <c r="G51" s="259"/>
      <c r="H51" s="260"/>
      <c r="J51" s="290" t="str">
        <f ca="1">IFERROR((J47*R25)^2*R40+(J48*R25)^2*R40+(J49*R25)^2*R40+(J50*R25)^2*R41,"")</f>
        <v/>
      </c>
      <c r="K51" s="291"/>
      <c r="L51" s="292"/>
      <c r="N51" s="290" t="str">
        <f ca="1">IFERROR((N47*W25)^2*W40+(N48*W25)^2*W40+(N49*W25)^2*W40+(N50*W25)^2*W41,"")</f>
        <v/>
      </c>
      <c r="O51" s="291"/>
      <c r="P51" s="292"/>
      <c r="Q51" s="2"/>
      <c r="R51" s="293" t="str">
        <f ca="1">IFERROR((R47*R25)^2*R40+(R48*R25)^2*R40+(R49*R25)^2*R40+(R50*R25)^2*R41,"")</f>
        <v/>
      </c>
      <c r="S51" s="293"/>
      <c r="T51" s="293"/>
      <c r="U51" s="293"/>
      <c r="V51" s="67"/>
      <c r="W51" s="293" t="str">
        <f ca="1">IFERROR(IF(ISBLANK(W47), "",(W47*W25)^2*W40+(W48*W25)^2*W40+(W49*W25)^2*W40+(W50*W25)^2*W41),"")</f>
        <v/>
      </c>
      <c r="X51" s="293"/>
      <c r="Y51" s="293"/>
      <c r="Z51" s="293"/>
      <c r="AC51" s="83"/>
      <c r="AD51" s="17"/>
      <c r="AN51" s="2"/>
      <c r="AO51" s="2"/>
      <c r="BA51" s="17"/>
      <c r="BB51" s="17"/>
    </row>
    <row r="52" spans="1:54" ht="18.75" customHeight="1" x14ac:dyDescent="0.25">
      <c r="B52" s="34"/>
      <c r="C52" s="34"/>
      <c r="D52" s="34"/>
      <c r="E52" s="34"/>
      <c r="F52" s="34"/>
      <c r="G52" s="34"/>
      <c r="H52" s="34"/>
      <c r="AD52" s="141" t="s">
        <v>463</v>
      </c>
      <c r="AE52" s="141"/>
      <c r="AF52" s="141" t="s">
        <v>463</v>
      </c>
      <c r="AG52" s="141"/>
      <c r="AH52" s="144" t="s">
        <v>464</v>
      </c>
      <c r="AI52" s="33"/>
      <c r="AJ52" s="33"/>
      <c r="AN52" s="2"/>
      <c r="AO52" s="2"/>
      <c r="AZ52" s="17"/>
      <c r="BA52" s="17"/>
      <c r="BB52" s="17"/>
    </row>
    <row r="53" spans="1:54" ht="18.75" customHeight="1" x14ac:dyDescent="0.35">
      <c r="A53" s="10"/>
      <c r="B53" s="2"/>
      <c r="C53" s="2"/>
      <c r="D53" s="2"/>
      <c r="J53" s="271" t="str">
        <f>IFERROR(IF(ABS((J47*R27+J48*R27+J49*R27)-R19)/R19&gt;0.1,"ERROR",""),"")</f>
        <v/>
      </c>
      <c r="K53" s="272"/>
      <c r="L53" s="273"/>
      <c r="N53" s="271" t="str">
        <f>IFERROR(IF(ABS((N47*R27+N48*R27+N49*R27)-R19)/R19&gt;0.1,"ERROR",""),"")</f>
        <v/>
      </c>
      <c r="O53" s="272"/>
      <c r="P53" s="273"/>
      <c r="R53" s="334" t="str">
        <f>IF($R$43="Yes",IF(OR(J53="ERROR",N53="ERROR"),"*Currents do not equal kVA value*",IF(AH53=FALSE,"*Current sums do not match*","")),"")</f>
        <v/>
      </c>
      <c r="S53" s="335"/>
      <c r="T53" s="335"/>
      <c r="U53" s="335"/>
      <c r="V53" s="335"/>
      <c r="W53" s="335"/>
      <c r="X53" s="335"/>
      <c r="Y53" s="335"/>
      <c r="Z53" s="335"/>
      <c r="AC53" s="10"/>
      <c r="AD53" s="142">
        <f>SUM(J47:L49)</f>
        <v>0</v>
      </c>
      <c r="AE53" s="143"/>
      <c r="AF53" s="142">
        <f>SUM(N47:P49)</f>
        <v>0</v>
      </c>
      <c r="AG53" s="141"/>
      <c r="AH53" s="144" t="b">
        <f>AD53=AF53</f>
        <v>1</v>
      </c>
      <c r="AI53" s="33"/>
      <c r="AJ53" s="33"/>
      <c r="AZ53" s="17"/>
      <c r="BA53" s="17"/>
    </row>
    <row r="54" spans="1:54" ht="18.75" customHeight="1" x14ac:dyDescent="0.25">
      <c r="B54" s="2"/>
      <c r="C54" s="2"/>
      <c r="D54" s="2"/>
      <c r="W54" s="59"/>
      <c r="AZ54" s="17"/>
      <c r="BA54" s="17"/>
      <c r="BB54" s="17"/>
    </row>
    <row r="55" spans="1:54" ht="18.75" customHeight="1" x14ac:dyDescent="0.25">
      <c r="B55" s="295" t="s">
        <v>441</v>
      </c>
      <c r="C55" s="295"/>
      <c r="D55" s="295"/>
      <c r="E55" s="295"/>
      <c r="F55" s="295"/>
      <c r="G55" s="295"/>
      <c r="H55" s="295"/>
      <c r="I55" s="295"/>
      <c r="J55" s="295"/>
      <c r="K55" s="295"/>
      <c r="L55" s="295"/>
      <c r="M55" s="295"/>
      <c r="N55" s="295"/>
      <c r="O55" s="295"/>
      <c r="P55" s="295"/>
      <c r="Q55" s="2"/>
      <c r="R55" s="293" t="str">
        <f ca="1">IFERROR(IF(R43="No",$R$24*8760*$R$51/1000,$R$24*8760*$J$51/1000),"")</f>
        <v/>
      </c>
      <c r="S55" s="293"/>
      <c r="T55" s="293"/>
      <c r="U55" s="293"/>
      <c r="V55" s="67"/>
      <c r="W55" s="293" t="str">
        <f ca="1">IFERROR(IF(R43="No",$W$24*8760*$W$51/1000, $W$24*8760*$N$51/1000),"")</f>
        <v/>
      </c>
      <c r="X55" s="293"/>
      <c r="Y55" s="293"/>
      <c r="Z55" s="293"/>
    </row>
    <row r="56" spans="1:54" ht="18.75" customHeight="1" thickBot="1" x14ac:dyDescent="0.3">
      <c r="B56" s="2"/>
      <c r="C56" s="2"/>
      <c r="D56" s="2"/>
      <c r="Q56" s="2"/>
      <c r="S56" s="2"/>
      <c r="V56" s="2"/>
      <c r="AZ56" s="17"/>
      <c r="BA56" s="17"/>
      <c r="BB56" s="17"/>
    </row>
    <row r="57" spans="1:54" ht="18.75" customHeight="1" thickBot="1" x14ac:dyDescent="0.3">
      <c r="B57" s="280" t="s">
        <v>485</v>
      </c>
      <c r="C57" s="281"/>
      <c r="D57" s="281"/>
      <c r="E57" s="281"/>
      <c r="F57" s="281"/>
      <c r="G57" s="281"/>
      <c r="H57" s="281"/>
      <c r="I57" s="281"/>
      <c r="J57" s="281"/>
      <c r="K57" s="281"/>
      <c r="L57" s="281"/>
      <c r="M57" s="281"/>
      <c r="N57" s="281"/>
      <c r="O57" s="281"/>
      <c r="P57" s="282"/>
      <c r="R57" s="283" t="str">
        <f ca="1">IFERROR($R$55-$W$55,"")</f>
        <v/>
      </c>
      <c r="S57" s="284"/>
      <c r="T57" s="284"/>
      <c r="U57" s="284"/>
      <c r="V57" s="284"/>
      <c r="W57" s="284"/>
      <c r="X57" s="284"/>
      <c r="Y57" s="284"/>
      <c r="Z57" s="285"/>
      <c r="AB57" s="373" t="s">
        <v>487</v>
      </c>
      <c r="AC57" s="374"/>
      <c r="AD57" s="374"/>
      <c r="AE57" s="375"/>
    </row>
    <row r="58" spans="1:54" ht="18.75" customHeight="1" thickBot="1" x14ac:dyDescent="0.3">
      <c r="B58" s="280" t="s">
        <v>486</v>
      </c>
      <c r="C58" s="281"/>
      <c r="D58" s="281"/>
      <c r="E58" s="281"/>
      <c r="F58" s="281"/>
      <c r="G58" s="281"/>
      <c r="H58" s="281"/>
      <c r="I58" s="281"/>
      <c r="J58" s="281"/>
      <c r="K58" s="281"/>
      <c r="L58" s="281"/>
      <c r="M58" s="281"/>
      <c r="N58" s="281"/>
      <c r="O58" s="281"/>
      <c r="P58" s="282"/>
      <c r="R58" s="283" t="str">
        <f ca="1">IFERROR($R$57*AB58,"")</f>
        <v/>
      </c>
      <c r="S58" s="284"/>
      <c r="T58" s="284"/>
      <c r="U58" s="284"/>
      <c r="V58" s="284"/>
      <c r="W58" s="284"/>
      <c r="X58" s="284"/>
      <c r="Y58" s="284"/>
      <c r="Z58" s="285"/>
      <c r="AB58" s="376">
        <v>1.09056</v>
      </c>
      <c r="AC58" s="377"/>
      <c r="AD58" s="377"/>
      <c r="AE58" s="378"/>
    </row>
    <row r="59" spans="1:54" ht="18.75" customHeight="1" thickBot="1" x14ac:dyDescent="0.3">
      <c r="AB59" s="2"/>
    </row>
    <row r="60" spans="1:54" ht="18.75" customHeight="1" thickBot="1" x14ac:dyDescent="0.3">
      <c r="B60" s="287" t="s">
        <v>539</v>
      </c>
      <c r="C60" s="288"/>
      <c r="D60" s="288"/>
      <c r="E60" s="288"/>
      <c r="F60" s="288"/>
      <c r="G60" s="288"/>
      <c r="H60" s="288"/>
      <c r="I60" s="288"/>
      <c r="J60" s="288"/>
      <c r="K60" s="288"/>
      <c r="L60" s="288"/>
      <c r="M60" s="288"/>
      <c r="N60" s="288"/>
      <c r="O60" s="288"/>
      <c r="P60" s="289"/>
      <c r="R60" s="252"/>
      <c r="S60" s="253"/>
      <c r="T60" s="253"/>
      <c r="U60" s="253"/>
      <c r="V60" s="253"/>
      <c r="W60" s="253"/>
      <c r="X60" s="253"/>
      <c r="Y60" s="253"/>
      <c r="Z60" s="254"/>
    </row>
    <row r="61" spans="1:54" ht="18.75" customHeight="1" x14ac:dyDescent="0.25">
      <c r="AF61" s="17"/>
    </row>
    <row r="62" spans="1:54" ht="18.75" customHeight="1" x14ac:dyDescent="0.25">
      <c r="B62" s="81" t="s">
        <v>32</v>
      </c>
      <c r="C62" s="17"/>
      <c r="D62" s="17"/>
      <c r="E62" s="17"/>
      <c r="F62" s="17"/>
      <c r="G62" s="17"/>
      <c r="H62" s="17"/>
      <c r="I62" s="17"/>
      <c r="J62" s="17"/>
      <c r="K62" s="17"/>
      <c r="L62" s="5"/>
      <c r="M62" s="5"/>
      <c r="N62" s="5"/>
      <c r="O62" s="5"/>
      <c r="P62" s="5"/>
      <c r="Q62" s="5"/>
      <c r="R62" s="5"/>
      <c r="S62" s="5"/>
      <c r="T62" s="5"/>
      <c r="U62" s="5"/>
      <c r="V62" s="5"/>
    </row>
    <row r="63" spans="1:54" ht="18.75" customHeight="1" thickBot="1" x14ac:dyDescent="0.3">
      <c r="B63" s="69" t="s">
        <v>479</v>
      </c>
      <c r="C63" s="70"/>
      <c r="D63" s="70"/>
      <c r="E63" s="70"/>
      <c r="F63" s="70"/>
      <c r="G63" s="70"/>
      <c r="H63" s="70"/>
      <c r="I63" s="70"/>
      <c r="J63" s="70"/>
      <c r="K63" s="70"/>
      <c r="L63" s="70"/>
      <c r="M63" s="70"/>
      <c r="N63" s="74"/>
      <c r="O63" s="70"/>
      <c r="P63" s="70"/>
      <c r="Q63" s="70"/>
      <c r="R63" s="70"/>
      <c r="S63" s="248" t="s">
        <v>476</v>
      </c>
      <c r="T63" s="248"/>
      <c r="U63" s="248"/>
      <c r="V63" s="249"/>
    </row>
    <row r="64" spans="1:54" ht="18.75" customHeight="1" x14ac:dyDescent="0.25">
      <c r="B64" s="71" t="s">
        <v>475</v>
      </c>
      <c r="C64" s="72"/>
      <c r="D64" s="72"/>
      <c r="E64" s="72"/>
      <c r="F64" s="72"/>
      <c r="G64" s="72"/>
      <c r="H64" s="72"/>
      <c r="I64" s="72"/>
      <c r="J64" s="72"/>
      <c r="K64" s="72"/>
      <c r="L64" s="72"/>
      <c r="M64" s="72"/>
      <c r="N64" s="72"/>
      <c r="O64" s="72"/>
      <c r="P64" s="72"/>
      <c r="Q64" s="72"/>
      <c r="R64" s="72"/>
      <c r="S64" s="250"/>
      <c r="T64" s="250"/>
      <c r="U64" s="250"/>
      <c r="V64" s="251"/>
    </row>
    <row r="65" spans="1:56" ht="18.75" customHeight="1" x14ac:dyDescent="0.25">
      <c r="B65" s="71" t="s">
        <v>477</v>
      </c>
      <c r="C65" s="72"/>
      <c r="D65" s="72"/>
      <c r="E65" s="72"/>
      <c r="F65" s="72"/>
      <c r="G65" s="72"/>
      <c r="H65" s="72"/>
      <c r="I65" s="72"/>
      <c r="J65" s="72"/>
      <c r="K65" s="72"/>
      <c r="L65" s="72"/>
      <c r="M65" s="72"/>
      <c r="N65" s="72"/>
      <c r="O65" s="72"/>
      <c r="P65" s="72"/>
      <c r="Q65" s="72"/>
      <c r="R65" s="72"/>
      <c r="S65" s="250"/>
      <c r="T65" s="250"/>
      <c r="U65" s="250"/>
      <c r="V65" s="251"/>
      <c r="X65" s="17"/>
      <c r="BD65" s="32"/>
    </row>
    <row r="66" spans="1:56" ht="18.75" customHeight="1" thickBot="1" x14ac:dyDescent="0.3">
      <c r="B66" s="71" t="s">
        <v>473</v>
      </c>
      <c r="C66" s="72"/>
      <c r="D66" s="72"/>
      <c r="E66" s="72"/>
      <c r="F66" s="72"/>
      <c r="G66" s="72"/>
      <c r="H66" s="72"/>
      <c r="I66" s="72"/>
      <c r="J66" s="72"/>
      <c r="K66" s="72"/>
      <c r="L66" s="72"/>
      <c r="M66" s="72"/>
      <c r="N66" s="72"/>
      <c r="O66" s="72"/>
      <c r="P66" s="72"/>
      <c r="Q66" s="72"/>
      <c r="R66" s="72"/>
      <c r="S66" s="250"/>
      <c r="T66" s="250"/>
      <c r="U66" s="250"/>
      <c r="V66" s="251"/>
      <c r="X66" s="32"/>
    </row>
    <row r="67" spans="1:56" ht="18.75" customHeight="1" thickBot="1" x14ac:dyDescent="0.3">
      <c r="B67" s="73" t="s">
        <v>478</v>
      </c>
      <c r="C67" s="72"/>
      <c r="D67" s="72"/>
      <c r="E67" s="72"/>
      <c r="F67" s="72"/>
      <c r="G67" s="72"/>
      <c r="H67" s="72"/>
      <c r="I67" s="72"/>
      <c r="J67" s="72"/>
      <c r="K67" s="72"/>
      <c r="L67" s="72"/>
      <c r="M67" s="72"/>
      <c r="N67" s="72"/>
      <c r="O67" s="72"/>
      <c r="P67" s="72"/>
      <c r="Q67" s="72"/>
      <c r="R67" s="72"/>
      <c r="S67" s="250"/>
      <c r="T67" s="250"/>
      <c r="U67" s="250"/>
      <c r="V67" s="251"/>
      <c r="X67" s="63"/>
      <c r="AC67" s="63"/>
      <c r="AH67" s="63"/>
      <c r="AM67" s="63"/>
    </row>
    <row r="68" spans="1:56" ht="18.75" customHeight="1" x14ac:dyDescent="0.25">
      <c r="B68" s="71" t="s">
        <v>474</v>
      </c>
      <c r="C68" s="72"/>
      <c r="D68" s="72"/>
      <c r="E68" s="72"/>
      <c r="F68" s="72"/>
      <c r="G68" s="72"/>
      <c r="H68" s="72"/>
      <c r="I68" s="72"/>
      <c r="J68" s="72"/>
      <c r="K68" s="72"/>
      <c r="L68" s="72"/>
      <c r="M68" s="72"/>
      <c r="N68" s="72"/>
      <c r="O68" s="72"/>
      <c r="P68" s="72"/>
      <c r="Q68" s="72"/>
      <c r="R68" s="72"/>
      <c r="S68" s="250"/>
      <c r="T68" s="250"/>
      <c r="U68" s="250"/>
      <c r="V68" s="251"/>
    </row>
    <row r="69" spans="1:56" ht="18.75" customHeight="1" x14ac:dyDescent="0.25">
      <c r="B69" s="71" t="s">
        <v>488</v>
      </c>
      <c r="C69" s="72"/>
      <c r="D69" s="72"/>
      <c r="E69" s="72"/>
      <c r="F69" s="72"/>
      <c r="G69" s="72"/>
      <c r="H69" s="72"/>
      <c r="I69" s="72"/>
      <c r="J69" s="72"/>
      <c r="K69" s="72"/>
      <c r="L69" s="72"/>
      <c r="M69" s="72"/>
      <c r="N69" s="72"/>
      <c r="O69" s="72"/>
      <c r="P69" s="72"/>
      <c r="Q69" s="72"/>
      <c r="R69" s="72"/>
      <c r="S69" s="250"/>
      <c r="T69" s="250"/>
      <c r="U69" s="250"/>
      <c r="V69" s="251"/>
    </row>
    <row r="70" spans="1:56" ht="18.75" customHeight="1" x14ac:dyDescent="0.25">
      <c r="B70" s="73" t="s">
        <v>489</v>
      </c>
      <c r="C70" s="72"/>
      <c r="D70" s="72"/>
      <c r="E70" s="72"/>
      <c r="F70" s="72"/>
      <c r="G70" s="72"/>
      <c r="H70" s="72"/>
      <c r="I70" s="72"/>
      <c r="J70" s="72"/>
      <c r="K70" s="72"/>
      <c r="L70" s="72"/>
      <c r="M70" s="72"/>
      <c r="N70" s="72"/>
      <c r="O70" s="72"/>
      <c r="P70" s="72"/>
      <c r="Q70" s="72"/>
      <c r="R70" s="72"/>
      <c r="S70" s="250"/>
      <c r="T70" s="250"/>
      <c r="U70" s="250"/>
      <c r="V70" s="251"/>
    </row>
    <row r="71" spans="1:56" ht="18.75" customHeight="1" x14ac:dyDescent="0.25">
      <c r="B71" s="75" t="s">
        <v>490</v>
      </c>
      <c r="C71" s="62"/>
      <c r="D71" s="62"/>
      <c r="E71" s="62"/>
      <c r="F71" s="62"/>
      <c r="G71" s="62"/>
      <c r="H71" s="62"/>
      <c r="I71" s="62"/>
      <c r="J71" s="62"/>
      <c r="K71" s="62"/>
      <c r="L71" s="62"/>
      <c r="M71" s="62"/>
      <c r="N71" s="62"/>
      <c r="O71" s="62"/>
      <c r="P71" s="62"/>
      <c r="Q71" s="62"/>
      <c r="R71" s="62"/>
      <c r="S71" s="62"/>
      <c r="T71" s="62"/>
      <c r="U71" s="62"/>
      <c r="V71" s="76"/>
    </row>
    <row r="72" spans="1:56" ht="18.75" customHeight="1" thickBot="1" x14ac:dyDescent="0.3">
      <c r="B72" s="146" t="s">
        <v>689</v>
      </c>
      <c r="W72" s="32"/>
      <c r="X72" s="32"/>
      <c r="Y72" s="32"/>
      <c r="Z72" s="32"/>
      <c r="AA72" s="32"/>
      <c r="AB72" s="32"/>
      <c r="AC72" s="32"/>
      <c r="AD72" s="32"/>
      <c r="AE72" s="32"/>
      <c r="AF72" s="32"/>
      <c r="AG72" s="32"/>
      <c r="AH72" s="32"/>
      <c r="AI72" s="32"/>
      <c r="AJ72" s="32"/>
      <c r="AK72" s="32"/>
      <c r="AL72" s="32"/>
    </row>
    <row r="73" spans="1:56" ht="18.75" customHeight="1" thickBot="1" x14ac:dyDescent="0.3">
      <c r="B73" s="280" t="s">
        <v>410</v>
      </c>
      <c r="C73" s="281"/>
      <c r="D73" s="281"/>
      <c r="E73" s="281"/>
      <c r="F73" s="281"/>
      <c r="G73" s="281"/>
      <c r="H73" s="281"/>
      <c r="I73" s="281"/>
      <c r="J73" s="281"/>
      <c r="K73" s="281"/>
      <c r="L73" s="281"/>
      <c r="M73" s="281"/>
      <c r="N73" s="281"/>
      <c r="O73" s="281"/>
      <c r="P73" s="282"/>
      <c r="R73" s="277" t="str">
        <f ca="1">IFERROR(IF(R58*J10&lt;(0.7*$R$60),R58*J10,0.7*$R$60),"")</f>
        <v/>
      </c>
      <c r="S73" s="278"/>
      <c r="T73" s="278"/>
      <c r="U73" s="278"/>
      <c r="V73" s="278"/>
      <c r="W73" s="278"/>
      <c r="X73" s="278"/>
      <c r="Y73" s="278"/>
      <c r="Z73" s="279"/>
      <c r="AA73" s="32"/>
      <c r="AB73" s="32"/>
      <c r="AC73" s="32"/>
      <c r="AD73" s="32"/>
      <c r="AE73" s="32"/>
      <c r="AF73" s="32"/>
      <c r="AG73" s="32"/>
      <c r="AH73" s="32"/>
      <c r="AI73" s="32"/>
      <c r="AJ73" s="32"/>
      <c r="AK73" s="32"/>
      <c r="AL73" s="32"/>
    </row>
    <row r="74" spans="1:56" ht="18.75" customHeight="1" thickBot="1" x14ac:dyDescent="0.3">
      <c r="B74" s="280" t="s">
        <v>411</v>
      </c>
      <c r="C74" s="281"/>
      <c r="D74" s="281"/>
      <c r="E74" s="281"/>
      <c r="F74" s="281"/>
      <c r="G74" s="281"/>
      <c r="H74" s="281"/>
      <c r="I74" s="281"/>
      <c r="J74" s="281"/>
      <c r="K74" s="281"/>
      <c r="L74" s="281"/>
      <c r="M74" s="281"/>
      <c r="N74" s="281"/>
      <c r="O74" s="281"/>
      <c r="P74" s="282"/>
      <c r="R74" s="277" t="str">
        <f ca="1">IFERROR(R73*Summary!$M$18,"")</f>
        <v/>
      </c>
      <c r="S74" s="278"/>
      <c r="T74" s="278"/>
      <c r="U74" s="278"/>
      <c r="V74" s="278"/>
      <c r="W74" s="278"/>
      <c r="X74" s="278"/>
      <c r="Y74" s="278"/>
      <c r="Z74" s="279"/>
      <c r="AO74" s="17"/>
    </row>
    <row r="75" spans="1:56" ht="18.75" customHeight="1" thickBot="1" x14ac:dyDescent="0.3">
      <c r="B75" s="280" t="s">
        <v>412</v>
      </c>
      <c r="C75" s="281"/>
      <c r="D75" s="281"/>
      <c r="E75" s="281"/>
      <c r="F75" s="281"/>
      <c r="G75" s="281"/>
      <c r="H75" s="281"/>
      <c r="I75" s="281"/>
      <c r="J75" s="281"/>
      <c r="K75" s="281"/>
      <c r="L75" s="281"/>
      <c r="M75" s="281"/>
      <c r="N75" s="281"/>
      <c r="O75" s="281"/>
      <c r="P75" s="282"/>
      <c r="R75" s="277" t="str">
        <f ca="1">IFERROR(R73*Summary!$M$19,"")</f>
        <v/>
      </c>
      <c r="S75" s="278"/>
      <c r="T75" s="278"/>
      <c r="U75" s="278"/>
      <c r="V75" s="278"/>
      <c r="W75" s="278"/>
      <c r="X75" s="278"/>
      <c r="Y75" s="278"/>
      <c r="Z75" s="279"/>
      <c r="AQ75" s="17"/>
    </row>
    <row r="76" spans="1:56" ht="18.75" customHeight="1" x14ac:dyDescent="0.25">
      <c r="AQ76" s="17"/>
    </row>
    <row r="77" spans="1:56" ht="18.75" customHeight="1" x14ac:dyDescent="0.25">
      <c r="A77" s="68" t="s">
        <v>484</v>
      </c>
    </row>
  </sheetData>
  <sheetProtection password="BD7D" sheet="1" scenarios="1"/>
  <mergeCells count="135">
    <mergeCell ref="AB19:AK21"/>
    <mergeCell ref="AB23:AK27"/>
    <mergeCell ref="AB43:AK46"/>
    <mergeCell ref="B6:G6"/>
    <mergeCell ref="B7:G7"/>
    <mergeCell ref="B8:G8"/>
    <mergeCell ref="R14:U15"/>
    <mergeCell ref="W14:Z15"/>
    <mergeCell ref="B15:P15"/>
    <mergeCell ref="B17:P17"/>
    <mergeCell ref="R17:U17"/>
    <mergeCell ref="W17:Z17"/>
    <mergeCell ref="B16:P16"/>
    <mergeCell ref="R16:U16"/>
    <mergeCell ref="W16:Z16"/>
    <mergeCell ref="B20:P20"/>
    <mergeCell ref="R20:U20"/>
    <mergeCell ref="W20:Z20"/>
    <mergeCell ref="B21:P21"/>
    <mergeCell ref="R21:U21"/>
    <mergeCell ref="W21:Z21"/>
    <mergeCell ref="B18:P18"/>
    <mergeCell ref="R18:U18"/>
    <mergeCell ref="W18:Z18"/>
    <mergeCell ref="AB2:AH2"/>
    <mergeCell ref="AB3:AH3"/>
    <mergeCell ref="AB4:AH4"/>
    <mergeCell ref="B4:G4"/>
    <mergeCell ref="B5:G5"/>
    <mergeCell ref="B12:U12"/>
    <mergeCell ref="W12:Z12"/>
    <mergeCell ref="B10:I10"/>
    <mergeCell ref="H4:Z4"/>
    <mergeCell ref="H5:Z5"/>
    <mergeCell ref="H6:Z6"/>
    <mergeCell ref="H7:Z7"/>
    <mergeCell ref="H8:Z8"/>
    <mergeCell ref="J10:Z10"/>
    <mergeCell ref="B19:P19"/>
    <mergeCell ref="R19:U19"/>
    <mergeCell ref="W19:Z19"/>
    <mergeCell ref="B25:P25"/>
    <mergeCell ref="R25:U25"/>
    <mergeCell ref="W25:Z25"/>
    <mergeCell ref="B23:P23"/>
    <mergeCell ref="R23:U23"/>
    <mergeCell ref="W23:Z23"/>
    <mergeCell ref="B24:P24"/>
    <mergeCell ref="R24:U24"/>
    <mergeCell ref="W24:Z24"/>
    <mergeCell ref="B30:P30"/>
    <mergeCell ref="R30:U30"/>
    <mergeCell ref="W30:Z30"/>
    <mergeCell ref="B31:P31"/>
    <mergeCell ref="R31:U31"/>
    <mergeCell ref="B32:P32"/>
    <mergeCell ref="R32:U32"/>
    <mergeCell ref="W32:Z32"/>
    <mergeCell ref="B27:P27"/>
    <mergeCell ref="R27:U27"/>
    <mergeCell ref="W27:Z27"/>
    <mergeCell ref="B29:P29"/>
    <mergeCell ref="R29:U29"/>
    <mergeCell ref="W29:Z29"/>
    <mergeCell ref="B36:P36"/>
    <mergeCell ref="R36:U36"/>
    <mergeCell ref="W36:Z36"/>
    <mergeCell ref="B37:P37"/>
    <mergeCell ref="R37:U37"/>
    <mergeCell ref="W37:Z37"/>
    <mergeCell ref="B33:P33"/>
    <mergeCell ref="R33:U33"/>
    <mergeCell ref="W33:Z33"/>
    <mergeCell ref="B34:P34"/>
    <mergeCell ref="R34:U34"/>
    <mergeCell ref="W34:Z34"/>
    <mergeCell ref="B41:P41"/>
    <mergeCell ref="R41:U41"/>
    <mergeCell ref="W41:Z41"/>
    <mergeCell ref="B43:L43"/>
    <mergeCell ref="R43:U43"/>
    <mergeCell ref="J45:L46"/>
    <mergeCell ref="N45:P46"/>
    <mergeCell ref="B38:P38"/>
    <mergeCell ref="R38:U38"/>
    <mergeCell ref="W38:Z38"/>
    <mergeCell ref="B40:P40"/>
    <mergeCell ref="R40:U40"/>
    <mergeCell ref="W40:Z40"/>
    <mergeCell ref="B48:H48"/>
    <mergeCell ref="J48:L48"/>
    <mergeCell ref="N48:P48"/>
    <mergeCell ref="R48:U48"/>
    <mergeCell ref="W48:Z48"/>
    <mergeCell ref="B47:H47"/>
    <mergeCell ref="J47:L47"/>
    <mergeCell ref="N47:P47"/>
    <mergeCell ref="R47:U47"/>
    <mergeCell ref="W47:Z47"/>
    <mergeCell ref="B49:H49"/>
    <mergeCell ref="J49:L49"/>
    <mergeCell ref="N49:P49"/>
    <mergeCell ref="R49:U49"/>
    <mergeCell ref="W49:Z49"/>
    <mergeCell ref="B50:H50"/>
    <mergeCell ref="J50:L50"/>
    <mergeCell ref="N50:P50"/>
    <mergeCell ref="R50:U50"/>
    <mergeCell ref="W50:Z50"/>
    <mergeCell ref="B55:P55"/>
    <mergeCell ref="R55:U55"/>
    <mergeCell ref="W55:Z55"/>
    <mergeCell ref="B57:P57"/>
    <mergeCell ref="R57:Z57"/>
    <mergeCell ref="AB57:AE57"/>
    <mergeCell ref="B51:H51"/>
    <mergeCell ref="J51:L51"/>
    <mergeCell ref="N51:P51"/>
    <mergeCell ref="R51:U51"/>
    <mergeCell ref="W51:Z51"/>
    <mergeCell ref="J53:L53"/>
    <mergeCell ref="N53:P53"/>
    <mergeCell ref="R53:Z53"/>
    <mergeCell ref="B75:P75"/>
    <mergeCell ref="R75:Z75"/>
    <mergeCell ref="S63:V70"/>
    <mergeCell ref="B58:P58"/>
    <mergeCell ref="R58:Z58"/>
    <mergeCell ref="AB58:AE58"/>
    <mergeCell ref="B73:P73"/>
    <mergeCell ref="R73:Z73"/>
    <mergeCell ref="B74:P74"/>
    <mergeCell ref="R74:Z74"/>
    <mergeCell ref="R60:Z60"/>
    <mergeCell ref="B60:P60"/>
  </mergeCells>
  <conditionalFormatting sqref="W12:Z12 R60 H5:H8">
    <cfRule type="expression" dxfId="259" priority="62">
      <formula>IF(OR(H5="--Select--",ISBLANK(H5)),TRUE,FALSE)</formula>
    </cfRule>
  </conditionalFormatting>
  <conditionalFormatting sqref="R20:U20 R18:U18">
    <cfRule type="expression" dxfId="258" priority="61">
      <formula>IF(OR(R18="--Select--",ISBLANK(R18)),TRUE,FALSE)</formula>
    </cfRule>
  </conditionalFormatting>
  <conditionalFormatting sqref="R27:U27">
    <cfRule type="expression" dxfId="257" priority="60">
      <formula>IF(OR(R27="--Select--",ISBLANK(R27)),TRUE,FALSE)</formula>
    </cfRule>
  </conditionalFormatting>
  <conditionalFormatting sqref="R29:U30">
    <cfRule type="expression" dxfId="256" priority="59">
      <formula>IF(OR(R29="--Select--",ISBLANK(R29)),TRUE,FALSE)</formula>
    </cfRule>
  </conditionalFormatting>
  <conditionalFormatting sqref="R32:U32">
    <cfRule type="expression" dxfId="255" priority="58">
      <formula>IF(OR(R32="--Select--",ISBLANK(R32)),TRUE,FALSE)</formula>
    </cfRule>
  </conditionalFormatting>
  <conditionalFormatting sqref="R36:U36">
    <cfRule type="expression" dxfId="254" priority="57">
      <formula>IF(OR(R36="--Select--",ISBLANK(R36)),TRUE,FALSE)</formula>
    </cfRule>
  </conditionalFormatting>
  <conditionalFormatting sqref="R37:U37">
    <cfRule type="expression" dxfId="253" priority="55">
      <formula>IF(R36="--Select--",TRUE,FALSE)</formula>
    </cfRule>
    <cfRule type="expression" dxfId="252" priority="56">
      <formula>IF(OR(R37="--Select--",ISBLANK(R36)),TRUE,FALSE)</formula>
    </cfRule>
  </conditionalFormatting>
  <conditionalFormatting sqref="W27:Z27">
    <cfRule type="expression" dxfId="251" priority="54">
      <formula>IF(OR(W27="--Select--",ISBLANK(W27)),TRUE,FALSE)</formula>
    </cfRule>
  </conditionalFormatting>
  <conditionalFormatting sqref="W29:Z30">
    <cfRule type="expression" dxfId="250" priority="53">
      <formula>IF(OR(W29="--Select--",ISBLANK(W29)),TRUE,FALSE)</formula>
    </cfRule>
  </conditionalFormatting>
  <conditionalFormatting sqref="W32:Z32">
    <cfRule type="expression" dxfId="249" priority="52">
      <formula>IF(OR(W32="--Select--",ISBLANK(W32)),TRUE,FALSE)</formula>
    </cfRule>
  </conditionalFormatting>
  <conditionalFormatting sqref="W36:Z36">
    <cfRule type="expression" dxfId="248" priority="51">
      <formula>IF(OR(W36="--Select--",ISBLANK(W36)),TRUE,FALSE)</formula>
    </cfRule>
  </conditionalFormatting>
  <conditionalFormatting sqref="W33:Z33">
    <cfRule type="expression" dxfId="247" priority="49">
      <formula>IF(W32="--Select--",TRUE,FALSE)</formula>
    </cfRule>
    <cfRule type="expression" dxfId="246" priority="50">
      <formula>IF(OR(W33="--Select--",ISBLANK(W32)),TRUE,FALSE)</formula>
    </cfRule>
  </conditionalFormatting>
  <conditionalFormatting sqref="W37:Z37">
    <cfRule type="expression" dxfId="245" priority="47">
      <formula>IF(W36="--Select--",TRUE,FALSE)</formula>
    </cfRule>
    <cfRule type="expression" dxfId="244" priority="48">
      <formula>IF(OR(W37="--Select--",ISBLANK(W36)),TRUE,FALSE)</formula>
    </cfRule>
  </conditionalFormatting>
  <conditionalFormatting sqref="H4">
    <cfRule type="expression" dxfId="243" priority="46">
      <formula>IF(OR(H4="--Select--",ISBLANK(H4)),TRUE,FALSE)</formula>
    </cfRule>
  </conditionalFormatting>
  <conditionalFormatting sqref="J47">
    <cfRule type="expression" dxfId="242" priority="726">
      <formula>IF(ISBLANK(J47),TRUE,FALSE)</formula>
    </cfRule>
  </conditionalFormatting>
  <conditionalFormatting sqref="J48">
    <cfRule type="expression" dxfId="241" priority="63">
      <formula>IF(ISBLANK(J48),TRUE,FALSE)</formula>
    </cfRule>
  </conditionalFormatting>
  <conditionalFormatting sqref="J49">
    <cfRule type="expression" dxfId="240" priority="45">
      <formula>IF(ISBLANK(J49),TRUE,FALSE)</formula>
    </cfRule>
  </conditionalFormatting>
  <conditionalFormatting sqref="J50">
    <cfRule type="expression" dxfId="239" priority="44">
      <formula>IF(ISBLANK(J50),TRUE,FALSE)</formula>
    </cfRule>
  </conditionalFormatting>
  <conditionalFormatting sqref="N47:N50">
    <cfRule type="expression" dxfId="238" priority="42">
      <formula>IF(ISBLANK(N47),TRUE,FALSE)</formula>
    </cfRule>
  </conditionalFormatting>
  <conditionalFormatting sqref="N48:N50">
    <cfRule type="expression" dxfId="237" priority="41">
      <formula>IF(ISBLANK(N48),TRUE,FALSE)</formula>
    </cfRule>
  </conditionalFormatting>
  <conditionalFormatting sqref="N49">
    <cfRule type="expression" dxfId="236" priority="40">
      <formula>IF(ISBLANK(N49),TRUE,FALSE)</formula>
    </cfRule>
  </conditionalFormatting>
  <conditionalFormatting sqref="N47:N50">
    <cfRule type="expression" dxfId="235" priority="39">
      <formula>IF(ISBLANK(N47),TRUE,FALSE)</formula>
    </cfRule>
  </conditionalFormatting>
  <conditionalFormatting sqref="J10">
    <cfRule type="expression" dxfId="234" priority="37">
      <formula>IF(OR(J10="--Select--",ISBLANK(J10)),TRUE,FALSE)</formula>
    </cfRule>
  </conditionalFormatting>
  <conditionalFormatting sqref="R33:U33">
    <cfRule type="expression" dxfId="233" priority="35">
      <formula>IF(R32="--Select--",TRUE,FALSE)</formula>
    </cfRule>
    <cfRule type="expression" dxfId="232" priority="36">
      <formula>IF(OR(R33="--Select--",ISBLANK(R32)),TRUE,FALSE)</formula>
    </cfRule>
  </conditionalFormatting>
  <conditionalFormatting sqref="R23:U23">
    <cfRule type="expression" dxfId="231" priority="32">
      <formula>IF(OR(R23="--Select--",ISBLANK(R23)),TRUE,FALSE)</formula>
    </cfRule>
  </conditionalFormatting>
  <conditionalFormatting sqref="J45:L51 N45:P51">
    <cfRule type="expression" dxfId="230" priority="38" stopIfTrue="1">
      <formula>IF($R$43="No",TRUE,FALSE)</formula>
    </cfRule>
  </conditionalFormatting>
  <conditionalFormatting sqref="J51 N51">
    <cfRule type="expression" dxfId="229" priority="876">
      <formula>IF($R$43="No",TRUE,FALSE)</formula>
    </cfRule>
  </conditionalFormatting>
  <conditionalFormatting sqref="R43:U43">
    <cfRule type="expression" dxfId="228" priority="31">
      <formula>IF(OR(R43="--Select--",ISBLANK(R43)),TRUE,FALSE)</formula>
    </cfRule>
  </conditionalFormatting>
  <conditionalFormatting sqref="R19:U19">
    <cfRule type="expression" dxfId="227" priority="30">
      <formula>IF(OR(R19="--Select--",ISBLANK(R19)),TRUE,FALSE)</formula>
    </cfRule>
  </conditionalFormatting>
  <conditionalFormatting sqref="R17:U17">
    <cfRule type="expression" dxfId="226" priority="28">
      <formula>IF(OR(R17="--Select--",ISBLANK(R17)),TRUE,FALSE)</formula>
    </cfRule>
  </conditionalFormatting>
  <conditionalFormatting sqref="W16:Z16">
    <cfRule type="expression" dxfId="225" priority="27">
      <formula>IF(OR(W16="--Select--",ISBLANK(W16)),TRUE,FALSE)</formula>
    </cfRule>
  </conditionalFormatting>
  <conditionalFormatting sqref="J53:L53">
    <cfRule type="expression" dxfId="224" priority="26" stopIfTrue="1">
      <formula>IF($R$43="No",TRUE,FALSE)</formula>
    </cfRule>
  </conditionalFormatting>
  <conditionalFormatting sqref="N53:P53">
    <cfRule type="expression" dxfId="223" priority="17" stopIfTrue="1">
      <formula>IF($R$43="No",TRUE,FALSE)</formula>
    </cfRule>
  </conditionalFormatting>
  <conditionalFormatting sqref="R53:Z53">
    <cfRule type="expression" dxfId="222" priority="16" stopIfTrue="1">
      <formula>IF($R$43="No",TRUE,FALSE)</formula>
    </cfRule>
  </conditionalFormatting>
  <dataValidations count="4">
    <dataValidation type="list" allowBlank="1" showInputMessage="1" showErrorMessage="1" sqref="W37:Z37">
      <formula1>INDIRECT($W$36)</formula1>
    </dataValidation>
    <dataValidation type="list" allowBlank="1" showInputMessage="1" showErrorMessage="1" sqref="R37:U37">
      <formula1>INDIRECT($R$36)</formula1>
    </dataValidation>
    <dataValidation type="list" allowBlank="1" showInputMessage="1" showErrorMessage="1" sqref="W33:Z33">
      <formula1>INDIRECT($W$32)</formula1>
    </dataValidation>
    <dataValidation type="list" allowBlank="1" showInputMessage="1" showErrorMessage="1" sqref="R33:U33">
      <formula1>INDIRECT($R$32)</formula1>
    </dataValidation>
  </dataValidations>
  <pageMargins left="0.25" right="0.25" top="0.75" bottom="0.75" header="0.3" footer="0.3"/>
  <pageSetup orientation="portrait" r:id="rId1"/>
  <ignoredErrors>
    <ignoredError sqref="N47:P50" unlockedFormula="1"/>
  </ignoredErrors>
  <extLst>
    <ext xmlns:x14="http://schemas.microsoft.com/office/spreadsheetml/2009/9/main" uri="{78C0D931-6437-407d-A8EE-F0AAD7539E65}">
      <x14:conditionalFormattings>
        <x14:conditionalFormatting xmlns:xm="http://schemas.microsoft.com/office/excel/2006/main">
          <x14:cfRule type="expression" priority="1" id="{6F61B547-085A-4E8D-845F-91C5B098D912}">
            <xm:f>OR(Summary!$P$21="--Select--",Summary!$P$21&lt;3,Summary!$P$12="--Select--",Summary!$P$12="Transformer Only")</xm:f>
            <x14:dxf>
              <fill>
                <patternFill patternType="solid">
                  <bgColor theme="1"/>
                </patternFill>
              </fill>
            </x14:dxf>
          </x14:cfRule>
          <xm:sqref>A1:XFD1048576</xm:sqref>
        </x14:conditionalFormatting>
      </x14:conditionalFormattings>
    </ext>
    <ext xmlns:x14="http://schemas.microsoft.com/office/spreadsheetml/2009/9/main" uri="{CCE6A557-97BC-4b89-ADB6-D9C93CAAB3DF}">
      <x14:dataValidations xmlns:xm="http://schemas.microsoft.com/office/excel/2006/main" count="5">
        <x14:dataValidation type="list" allowBlank="1" showInputMessage="1" showErrorMessage="1">
          <x14:formula1>
            <xm:f>Lists!$K$3:$K$4</xm:f>
          </x14:formula1>
          <xm:sqref>R43:R44</xm:sqref>
        </x14:dataValidation>
        <x14:dataValidation type="list" allowBlank="1" showInputMessage="1" showErrorMessage="1">
          <x14:formula1>
            <xm:f>Lists!$G$2:$G$5</xm:f>
          </x14:formula1>
          <xm:sqref>R29 W29:Z29</xm:sqref>
        </x14:dataValidation>
        <x14:dataValidation type="list" allowBlank="1" showInputMessage="1" showErrorMessage="1">
          <x14:formula1>
            <xm:f>Lists!$H$2:$H$4</xm:f>
          </x14:formula1>
          <xm:sqref>R30 W30:Z30</xm:sqref>
        </x14:dataValidation>
        <x14:dataValidation type="list" allowBlank="1" showInputMessage="1" showErrorMessage="1">
          <x14:formula1>
            <xm:f>Lists!$I$2:$I$5</xm:f>
          </x14:formula1>
          <xm:sqref>R32:U32 W32:Z32 R36:U36 W36:Z36</xm:sqref>
        </x14:dataValidation>
        <x14:dataValidation type="list" allowBlank="1" showInputMessage="1" showErrorMessage="1">
          <x14:formula1>
            <xm:f>Lists!$K$2:$K$4</xm:f>
          </x14:formula1>
          <xm:sqref>W12</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Z77"/>
  <sheetViews>
    <sheetView showGridLines="0" zoomScaleNormal="100" workbookViewId="0">
      <selection activeCell="H4" sqref="H4:Z4"/>
    </sheetView>
  </sheetViews>
  <sheetFormatPr defaultColWidth="3.5703125" defaultRowHeight="18.75" customHeight="1" x14ac:dyDescent="0.25"/>
  <cols>
    <col min="17" max="18" width="3.5703125" customWidth="1"/>
    <col min="23" max="23" width="3.5703125" customWidth="1"/>
    <col min="30" max="30" width="3.5703125" customWidth="1"/>
    <col min="32" max="32" width="3.5703125" customWidth="1"/>
    <col min="34" max="34" width="3.5703125" customWidth="1"/>
    <col min="38" max="39" width="3.5703125" customWidth="1"/>
    <col min="55" max="55" width="4" bestFit="1" customWidth="1"/>
    <col min="57" max="57" width="4" bestFit="1" customWidth="1"/>
    <col min="60" max="60" width="3.5703125" customWidth="1"/>
  </cols>
  <sheetData>
    <row r="1" spans="1:78" ht="18.75" customHeight="1" x14ac:dyDescent="0.3">
      <c r="A1" s="95"/>
      <c r="B1" s="94" t="s">
        <v>542</v>
      </c>
      <c r="C1" s="95"/>
      <c r="D1" s="95"/>
      <c r="E1" s="95"/>
      <c r="F1" s="95"/>
      <c r="G1" s="95"/>
      <c r="H1" s="95"/>
      <c r="I1" s="95"/>
      <c r="J1" s="95"/>
      <c r="K1" s="95"/>
      <c r="L1" s="95"/>
      <c r="M1" s="95"/>
      <c r="N1" s="95"/>
      <c r="O1" s="95"/>
      <c r="P1" s="95"/>
      <c r="Q1" s="95"/>
      <c r="R1" s="95"/>
      <c r="S1" s="95"/>
      <c r="T1" s="95"/>
      <c r="U1" s="95"/>
      <c r="V1" s="95"/>
      <c r="W1" s="95"/>
      <c r="X1" s="95"/>
      <c r="Y1" s="95"/>
      <c r="Z1" s="95"/>
      <c r="AA1" s="95"/>
      <c r="AB1" s="95"/>
      <c r="AC1" s="95"/>
      <c r="AD1" s="95"/>
      <c r="AE1" s="95"/>
      <c r="AF1" s="95"/>
      <c r="AG1" s="95"/>
      <c r="AH1" s="95"/>
      <c r="AI1" s="95"/>
      <c r="AJ1" s="95"/>
      <c r="AK1" s="95"/>
      <c r="AL1" s="95"/>
      <c r="AM1" s="95"/>
      <c r="AN1" s="95"/>
      <c r="AO1" s="95"/>
      <c r="AP1" s="95"/>
      <c r="AQ1" s="95"/>
      <c r="AR1" s="95"/>
      <c r="AS1" s="95"/>
      <c r="AT1" s="95"/>
      <c r="AU1" s="95"/>
      <c r="AV1" s="95"/>
      <c r="AW1" s="95"/>
      <c r="AX1" s="95"/>
      <c r="AY1" s="95"/>
      <c r="AZ1" s="95"/>
      <c r="BA1" s="95"/>
      <c r="BB1" s="95"/>
      <c r="BC1" s="95"/>
      <c r="BD1" s="95"/>
      <c r="BE1" s="95"/>
      <c r="BF1" s="95"/>
      <c r="BG1" s="95"/>
      <c r="BH1" s="95"/>
      <c r="BI1" s="95"/>
      <c r="BJ1" s="95"/>
      <c r="BK1" s="95"/>
      <c r="BL1" s="95"/>
      <c r="BM1" s="95"/>
      <c r="BN1" s="95"/>
      <c r="BO1" s="95"/>
      <c r="BP1" s="95"/>
      <c r="BQ1" s="95"/>
      <c r="BR1" s="95"/>
      <c r="BS1" s="95"/>
      <c r="BT1" s="95"/>
      <c r="BU1" s="95"/>
      <c r="BV1" s="95"/>
      <c r="BW1" s="95"/>
      <c r="BX1" s="95"/>
      <c r="BY1" s="95"/>
      <c r="BZ1" s="95"/>
    </row>
    <row r="2" spans="1:78" ht="18.75" customHeight="1" x14ac:dyDescent="0.25">
      <c r="AB2" s="302" t="s">
        <v>391</v>
      </c>
      <c r="AC2" s="302"/>
      <c r="AD2" s="302"/>
      <c r="AE2" s="302"/>
      <c r="AF2" s="302"/>
      <c r="AG2" s="302"/>
      <c r="AH2" s="302"/>
    </row>
    <row r="3" spans="1:78" ht="18.75" customHeight="1" x14ac:dyDescent="0.25">
      <c r="B3" s="5"/>
      <c r="AB3" s="380" t="s">
        <v>392</v>
      </c>
      <c r="AC3" s="380"/>
      <c r="AD3" s="380"/>
      <c r="AE3" s="380"/>
      <c r="AF3" s="380"/>
      <c r="AG3" s="380"/>
      <c r="AH3" s="380"/>
      <c r="AL3" s="17"/>
    </row>
    <row r="4" spans="1:78" ht="18.75" customHeight="1" x14ac:dyDescent="0.25">
      <c r="B4" s="318" t="s">
        <v>455</v>
      </c>
      <c r="C4" s="319"/>
      <c r="D4" s="319"/>
      <c r="E4" s="319"/>
      <c r="F4" s="319"/>
      <c r="G4" s="320"/>
      <c r="H4" s="172"/>
      <c r="I4" s="172"/>
      <c r="J4" s="172"/>
      <c r="K4" s="172"/>
      <c r="L4" s="172"/>
      <c r="M4" s="172"/>
      <c r="N4" s="172"/>
      <c r="O4" s="172"/>
      <c r="P4" s="172"/>
      <c r="Q4" s="172"/>
      <c r="R4" s="172"/>
      <c r="S4" s="172"/>
      <c r="T4" s="172"/>
      <c r="U4" s="172"/>
      <c r="V4" s="172"/>
      <c r="W4" s="172"/>
      <c r="X4" s="172"/>
      <c r="Y4" s="172"/>
      <c r="Z4" s="172"/>
      <c r="AB4" s="381" t="s">
        <v>393</v>
      </c>
      <c r="AC4" s="381"/>
      <c r="AD4" s="381"/>
      <c r="AE4" s="381"/>
      <c r="AF4" s="381"/>
      <c r="AG4" s="381"/>
      <c r="AH4" s="381"/>
      <c r="AL4" s="17"/>
      <c r="AM4" s="17"/>
      <c r="AN4" s="17"/>
      <c r="AO4" s="17"/>
      <c r="AP4" s="17"/>
      <c r="AQ4" s="17"/>
      <c r="AR4" s="17"/>
      <c r="AS4" s="17"/>
      <c r="AT4" s="17"/>
      <c r="AU4" s="17"/>
      <c r="AV4" s="17"/>
      <c r="AW4" s="17"/>
      <c r="AX4" s="17"/>
      <c r="AY4" s="17"/>
      <c r="AZ4" s="17"/>
      <c r="BA4" s="17"/>
      <c r="BB4" s="17"/>
      <c r="BC4" s="17"/>
      <c r="BD4" s="17"/>
      <c r="BE4" s="17"/>
    </row>
    <row r="5" spans="1:78" ht="18.75" customHeight="1" x14ac:dyDescent="0.25">
      <c r="B5" s="318" t="s">
        <v>67</v>
      </c>
      <c r="C5" s="319"/>
      <c r="D5" s="319"/>
      <c r="E5" s="319"/>
      <c r="F5" s="319"/>
      <c r="G5" s="320"/>
      <c r="H5" s="175"/>
      <c r="I5" s="175"/>
      <c r="J5" s="175"/>
      <c r="K5" s="175"/>
      <c r="L5" s="175"/>
      <c r="M5" s="175"/>
      <c r="N5" s="175"/>
      <c r="O5" s="175"/>
      <c r="P5" s="175"/>
      <c r="Q5" s="175"/>
      <c r="R5" s="175"/>
      <c r="S5" s="175"/>
      <c r="T5" s="175"/>
      <c r="U5" s="175"/>
      <c r="V5" s="175"/>
      <c r="W5" s="175"/>
      <c r="X5" s="175"/>
      <c r="Y5" s="175"/>
      <c r="Z5" s="175"/>
    </row>
    <row r="6" spans="1:78" ht="18.75" customHeight="1" x14ac:dyDescent="0.25">
      <c r="B6" s="318" t="s">
        <v>468</v>
      </c>
      <c r="C6" s="319"/>
      <c r="D6" s="319"/>
      <c r="E6" s="319"/>
      <c r="F6" s="319"/>
      <c r="G6" s="320"/>
      <c r="H6" s="175"/>
      <c r="I6" s="175"/>
      <c r="J6" s="175"/>
      <c r="K6" s="175"/>
      <c r="L6" s="175"/>
      <c r="M6" s="175"/>
      <c r="N6" s="175"/>
      <c r="O6" s="175"/>
      <c r="P6" s="175"/>
      <c r="Q6" s="175"/>
      <c r="R6" s="175"/>
      <c r="S6" s="175"/>
      <c r="T6" s="175"/>
      <c r="U6" s="175"/>
      <c r="V6" s="175"/>
      <c r="W6" s="175"/>
      <c r="X6" s="175"/>
      <c r="Y6" s="175"/>
      <c r="Z6" s="175"/>
    </row>
    <row r="7" spans="1:78" ht="18.75" customHeight="1" x14ac:dyDescent="0.25">
      <c r="B7" s="318" t="s">
        <v>12</v>
      </c>
      <c r="C7" s="319"/>
      <c r="D7" s="319"/>
      <c r="E7" s="319"/>
      <c r="F7" s="319"/>
      <c r="G7" s="320"/>
      <c r="H7" s="175"/>
      <c r="I7" s="175"/>
      <c r="J7" s="175"/>
      <c r="K7" s="175"/>
      <c r="L7" s="175"/>
      <c r="M7" s="175"/>
      <c r="N7" s="175"/>
      <c r="O7" s="175"/>
      <c r="P7" s="175"/>
      <c r="Q7" s="175"/>
      <c r="R7" s="175"/>
      <c r="S7" s="175"/>
      <c r="T7" s="175"/>
      <c r="U7" s="175"/>
      <c r="V7" s="175"/>
      <c r="W7" s="175"/>
      <c r="X7" s="175"/>
      <c r="Y7" s="175"/>
      <c r="Z7" s="175"/>
    </row>
    <row r="8" spans="1:78" ht="18.75" customHeight="1" x14ac:dyDescent="0.25">
      <c r="B8" s="318" t="s">
        <v>13</v>
      </c>
      <c r="C8" s="319"/>
      <c r="D8" s="319"/>
      <c r="E8" s="319"/>
      <c r="F8" s="319"/>
      <c r="G8" s="320"/>
      <c r="H8" s="175"/>
      <c r="I8" s="175"/>
      <c r="J8" s="175"/>
      <c r="K8" s="175"/>
      <c r="L8" s="175"/>
      <c r="M8" s="175"/>
      <c r="N8" s="175"/>
      <c r="O8" s="175"/>
      <c r="P8" s="175"/>
      <c r="Q8" s="175"/>
      <c r="R8" s="175"/>
      <c r="S8" s="175"/>
      <c r="T8" s="175"/>
      <c r="U8" s="175"/>
      <c r="V8" s="175"/>
      <c r="W8" s="175"/>
      <c r="X8" s="175"/>
      <c r="Y8" s="175"/>
      <c r="Z8" s="175"/>
    </row>
    <row r="9" spans="1:78" ht="18.75" customHeight="1" x14ac:dyDescent="0.25">
      <c r="B9" s="153"/>
      <c r="C9" s="152" t="s">
        <v>14</v>
      </c>
      <c r="D9" s="152"/>
      <c r="E9" s="152"/>
      <c r="F9" s="59"/>
      <c r="G9" s="154" t="s">
        <v>15</v>
      </c>
      <c r="H9" s="154"/>
      <c r="I9" s="154"/>
      <c r="J9" s="59"/>
      <c r="K9" s="154" t="s">
        <v>409</v>
      </c>
      <c r="L9" s="154"/>
      <c r="M9" s="154"/>
      <c r="N9" s="154"/>
      <c r="O9" s="154"/>
      <c r="P9" s="154"/>
      <c r="Q9" s="154"/>
      <c r="R9" s="154"/>
      <c r="S9" s="59"/>
      <c r="T9" s="59"/>
      <c r="U9" s="59"/>
      <c r="V9" s="59"/>
      <c r="W9" s="59"/>
      <c r="X9" s="59"/>
      <c r="Y9" s="59"/>
      <c r="Z9" s="156"/>
    </row>
    <row r="10" spans="1:78" ht="18.75" customHeight="1" x14ac:dyDescent="0.25">
      <c r="B10" s="220" t="s">
        <v>480</v>
      </c>
      <c r="C10" s="221"/>
      <c r="D10" s="221"/>
      <c r="E10" s="221"/>
      <c r="F10" s="221"/>
      <c r="G10" s="221"/>
      <c r="H10" s="221"/>
      <c r="I10" s="327"/>
      <c r="J10" s="328" t="str">
        <f ca="1">IF(ISBLANK($H$5),"",OFFSET(Lists!$AI$1,MATCH('RC4'!$G$9,Lists!$AA$2:$AA$4,FALSE),MATCH('RC4'!$H$5,Lists!$AJ$1:$BA$1,1)))</f>
        <v/>
      </c>
      <c r="K10" s="328"/>
      <c r="L10" s="328"/>
      <c r="M10" s="328"/>
      <c r="N10" s="328"/>
      <c r="O10" s="328"/>
      <c r="P10" s="328"/>
      <c r="Q10" s="328"/>
      <c r="R10" s="328"/>
      <c r="S10" s="328"/>
      <c r="T10" s="328"/>
      <c r="U10" s="328"/>
      <c r="V10" s="328"/>
      <c r="W10" s="328"/>
      <c r="X10" s="328"/>
      <c r="Y10" s="328"/>
      <c r="Z10" s="328"/>
      <c r="AA10" s="17"/>
      <c r="AB10" s="17"/>
      <c r="AC10" s="17"/>
      <c r="AD10" s="17"/>
      <c r="AE10" s="17"/>
      <c r="AF10" s="17"/>
      <c r="AG10" s="17"/>
      <c r="AH10" s="17"/>
      <c r="AI10" s="17"/>
      <c r="AJ10" s="17"/>
      <c r="AK10" s="17"/>
      <c r="AL10" s="17"/>
      <c r="AM10" s="17"/>
      <c r="AN10" s="17"/>
      <c r="AO10" s="17"/>
      <c r="AP10" s="17"/>
      <c r="AQ10" s="17"/>
      <c r="AR10" s="17"/>
      <c r="AS10" s="17"/>
      <c r="AT10" s="17"/>
      <c r="AU10" s="17"/>
    </row>
    <row r="11" spans="1:78" ht="18.75" customHeight="1" x14ac:dyDescent="0.25">
      <c r="G11" s="46"/>
      <c r="H11" s="46"/>
      <c r="I11" s="46"/>
      <c r="J11" s="46"/>
      <c r="K11" s="46"/>
      <c r="L11" s="46"/>
      <c r="M11" s="46"/>
      <c r="N11" s="46"/>
      <c r="O11" s="46"/>
      <c r="P11" s="46"/>
      <c r="Q11" s="46"/>
      <c r="R11" s="46"/>
    </row>
    <row r="12" spans="1:78" ht="18.75" customHeight="1" x14ac:dyDescent="0.25">
      <c r="B12" s="321" t="s">
        <v>457</v>
      </c>
      <c r="C12" s="322"/>
      <c r="D12" s="322"/>
      <c r="E12" s="322"/>
      <c r="F12" s="322"/>
      <c r="G12" s="322"/>
      <c r="H12" s="322"/>
      <c r="I12" s="322"/>
      <c r="J12" s="322"/>
      <c r="K12" s="322"/>
      <c r="L12" s="322"/>
      <c r="M12" s="322"/>
      <c r="N12" s="322"/>
      <c r="O12" s="322"/>
      <c r="P12" s="322"/>
      <c r="Q12" s="322"/>
      <c r="R12" s="322"/>
      <c r="S12" s="322"/>
      <c r="T12" s="322"/>
      <c r="U12" s="323"/>
      <c r="W12" s="329" t="s">
        <v>7</v>
      </c>
      <c r="X12" s="329"/>
      <c r="Y12" s="329"/>
      <c r="Z12" s="329"/>
      <c r="AC12" s="17"/>
    </row>
    <row r="13" spans="1:78" ht="18.75" customHeight="1" thickBot="1" x14ac:dyDescent="0.3">
      <c r="A13" s="10"/>
      <c r="B13" s="77" t="str">
        <f>IF($W$12="Yes","**Before continuing, please consult with BPA Technical Staff for assistance**","")</f>
        <v/>
      </c>
      <c r="C13" s="77"/>
      <c r="D13" s="77"/>
      <c r="E13" s="77"/>
      <c r="F13" s="77"/>
      <c r="G13" s="77"/>
      <c r="H13" s="77"/>
      <c r="I13" s="77"/>
      <c r="J13" s="77"/>
      <c r="K13" s="77"/>
      <c r="L13" s="77"/>
      <c r="M13" s="77"/>
      <c r="N13" s="77"/>
      <c r="O13" s="17"/>
      <c r="P13" s="77"/>
      <c r="Q13" s="77"/>
      <c r="AC13" s="17"/>
      <c r="BL13" s="17"/>
      <c r="BM13" s="17"/>
      <c r="BN13" s="17"/>
      <c r="BO13" s="17"/>
      <c r="BP13" s="17"/>
      <c r="BQ13" s="17"/>
      <c r="BR13" s="17"/>
      <c r="BS13" s="17"/>
      <c r="BT13" s="17"/>
      <c r="BU13" s="17"/>
    </row>
    <row r="14" spans="1:78" ht="18.75" customHeight="1" thickBot="1" x14ac:dyDescent="0.3">
      <c r="F14" s="2"/>
      <c r="G14" s="2"/>
      <c r="H14" s="2"/>
      <c r="I14" s="2"/>
      <c r="R14" s="309" t="s">
        <v>22</v>
      </c>
      <c r="S14" s="310"/>
      <c r="T14" s="310"/>
      <c r="U14" s="311"/>
      <c r="W14" s="309" t="s">
        <v>30</v>
      </c>
      <c r="X14" s="310"/>
      <c r="Y14" s="310"/>
      <c r="Z14" s="311"/>
      <c r="BC14" s="17"/>
      <c r="BE14" s="17"/>
      <c r="BF14" s="17"/>
      <c r="BG14" s="17"/>
      <c r="BH14" s="17"/>
      <c r="BI14" s="17"/>
      <c r="BJ14" s="17"/>
      <c r="BK14" s="17"/>
      <c r="BL14" s="17"/>
      <c r="BM14" s="17"/>
      <c r="BN14" s="17"/>
      <c r="BO14" s="17"/>
      <c r="BP14" s="17"/>
      <c r="BQ14" s="17"/>
      <c r="BR14" s="17"/>
      <c r="BS14" s="17"/>
      <c r="BT14" s="17"/>
      <c r="BU14" s="17"/>
    </row>
    <row r="15" spans="1:78" ht="18.75" customHeight="1" thickBot="1" x14ac:dyDescent="0.3">
      <c r="B15" s="324" t="s">
        <v>524</v>
      </c>
      <c r="C15" s="325"/>
      <c r="D15" s="325"/>
      <c r="E15" s="325"/>
      <c r="F15" s="325"/>
      <c r="G15" s="325"/>
      <c r="H15" s="325"/>
      <c r="I15" s="325"/>
      <c r="J15" s="325"/>
      <c r="K15" s="325"/>
      <c r="L15" s="325"/>
      <c r="M15" s="325"/>
      <c r="N15" s="325"/>
      <c r="O15" s="325"/>
      <c r="P15" s="326"/>
      <c r="R15" s="312"/>
      <c r="S15" s="313"/>
      <c r="T15" s="313"/>
      <c r="U15" s="314"/>
      <c r="W15" s="312"/>
      <c r="X15" s="313"/>
      <c r="Y15" s="313"/>
      <c r="Z15" s="314"/>
      <c r="AM15" s="17"/>
      <c r="AN15" s="17"/>
      <c r="AO15" s="17"/>
      <c r="AP15" s="17"/>
      <c r="AQ15" s="17"/>
      <c r="AR15" s="17"/>
      <c r="AS15" s="17"/>
      <c r="AT15" s="17"/>
      <c r="AU15" s="17"/>
      <c r="AV15" s="17"/>
      <c r="AW15" s="17"/>
      <c r="AX15" s="17"/>
      <c r="AY15" s="17"/>
      <c r="AZ15" s="17"/>
      <c r="BA15" s="17"/>
      <c r="BB15" s="17"/>
      <c r="BC15" s="17"/>
      <c r="BD15" s="17"/>
      <c r="BE15" s="17"/>
      <c r="BF15" s="17"/>
    </row>
    <row r="16" spans="1:78" ht="18.75" customHeight="1" x14ac:dyDescent="0.25">
      <c r="B16" s="256" t="s">
        <v>428</v>
      </c>
      <c r="C16" s="256"/>
      <c r="D16" s="256"/>
      <c r="E16" s="256"/>
      <c r="F16" s="256"/>
      <c r="G16" s="256"/>
      <c r="H16" s="256"/>
      <c r="I16" s="256"/>
      <c r="J16" s="256"/>
      <c r="K16" s="256"/>
      <c r="L16" s="256"/>
      <c r="M16" s="256"/>
      <c r="N16" s="256"/>
      <c r="O16" s="256"/>
      <c r="P16" s="256"/>
      <c r="Q16" s="17"/>
      <c r="R16" s="330"/>
      <c r="S16" s="331"/>
      <c r="T16" s="331"/>
      <c r="U16" s="332"/>
      <c r="W16" s="361"/>
      <c r="X16" s="361"/>
      <c r="Y16" s="361"/>
      <c r="Z16" s="361"/>
      <c r="AD16" s="17"/>
      <c r="AW16" s="17"/>
      <c r="AX16" s="17"/>
      <c r="BC16" s="17"/>
      <c r="BD16" s="17"/>
      <c r="BE16" s="17"/>
      <c r="BF16" s="17"/>
    </row>
    <row r="17" spans="1:37" ht="18.75" customHeight="1" x14ac:dyDescent="0.25">
      <c r="B17" s="316" t="s">
        <v>511</v>
      </c>
      <c r="C17" s="316"/>
      <c r="D17" s="316"/>
      <c r="E17" s="316"/>
      <c r="F17" s="316"/>
      <c r="G17" s="316"/>
      <c r="H17" s="316"/>
      <c r="I17" s="316"/>
      <c r="J17" s="316"/>
      <c r="K17" s="316"/>
      <c r="L17" s="316"/>
      <c r="M17" s="316"/>
      <c r="N17" s="316"/>
      <c r="O17" s="316"/>
      <c r="P17" s="316"/>
      <c r="Q17" s="2"/>
      <c r="R17" s="369"/>
      <c r="S17" s="369"/>
      <c r="T17" s="369"/>
      <c r="U17" s="369"/>
      <c r="V17" s="2"/>
      <c r="W17" s="387">
        <f t="shared" ref="W17:W21" si="0">R17</f>
        <v>0</v>
      </c>
      <c r="X17" s="387"/>
      <c r="Y17" s="387"/>
      <c r="Z17" s="387"/>
      <c r="AD17" s="17"/>
    </row>
    <row r="18" spans="1:37" ht="18.75" customHeight="1" x14ac:dyDescent="0.25">
      <c r="B18" s="256" t="s">
        <v>429</v>
      </c>
      <c r="C18" s="256"/>
      <c r="D18" s="256"/>
      <c r="E18" s="256"/>
      <c r="F18" s="256"/>
      <c r="G18" s="256"/>
      <c r="H18" s="256"/>
      <c r="I18" s="256"/>
      <c r="J18" s="256"/>
      <c r="K18" s="256"/>
      <c r="L18" s="256"/>
      <c r="M18" s="256"/>
      <c r="N18" s="256"/>
      <c r="O18" s="256"/>
      <c r="P18" s="256"/>
      <c r="Q18" s="2"/>
      <c r="R18" s="370"/>
      <c r="S18" s="370"/>
      <c r="T18" s="370"/>
      <c r="U18" s="370"/>
      <c r="V18" s="2"/>
      <c r="W18" s="389">
        <f t="shared" si="0"/>
        <v>0</v>
      </c>
      <c r="X18" s="389"/>
      <c r="Y18" s="389"/>
      <c r="Z18" s="389"/>
      <c r="AE18" s="2"/>
    </row>
    <row r="19" spans="1:37" ht="18.75" customHeight="1" x14ac:dyDescent="0.25">
      <c r="B19" s="256" t="s">
        <v>430</v>
      </c>
      <c r="C19" s="256"/>
      <c r="D19" s="256"/>
      <c r="E19" s="256"/>
      <c r="F19" s="256"/>
      <c r="G19" s="256"/>
      <c r="H19" s="256"/>
      <c r="I19" s="256"/>
      <c r="J19" s="256"/>
      <c r="K19" s="256"/>
      <c r="L19" s="256"/>
      <c r="M19" s="256"/>
      <c r="N19" s="256"/>
      <c r="O19" s="256"/>
      <c r="P19" s="256"/>
      <c r="Q19" s="2"/>
      <c r="R19" s="315" t="str">
        <f>IFERROR($R$17/$R$18,"")</f>
        <v/>
      </c>
      <c r="S19" s="315"/>
      <c r="T19" s="315"/>
      <c r="U19" s="315"/>
      <c r="V19" s="7"/>
      <c r="W19" s="363" t="str">
        <f t="shared" si="0"/>
        <v/>
      </c>
      <c r="X19" s="363"/>
      <c r="Y19" s="363"/>
      <c r="Z19" s="363"/>
      <c r="AB19" s="343" t="s">
        <v>670</v>
      </c>
      <c r="AC19" s="344"/>
      <c r="AD19" s="344"/>
      <c r="AE19" s="344"/>
      <c r="AF19" s="344"/>
      <c r="AG19" s="344"/>
      <c r="AH19" s="344"/>
      <c r="AI19" s="344"/>
      <c r="AJ19" s="344"/>
      <c r="AK19" s="345"/>
    </row>
    <row r="20" spans="1:37" ht="18.75" customHeight="1" x14ac:dyDescent="0.25">
      <c r="B20" s="256" t="s">
        <v>512</v>
      </c>
      <c r="C20" s="256"/>
      <c r="D20" s="256"/>
      <c r="E20" s="256"/>
      <c r="F20" s="256"/>
      <c r="G20" s="256"/>
      <c r="H20" s="256"/>
      <c r="I20" s="256"/>
      <c r="J20" s="256"/>
      <c r="K20" s="256"/>
      <c r="L20" s="256"/>
      <c r="M20" s="256"/>
      <c r="N20" s="256"/>
      <c r="O20" s="256"/>
      <c r="P20" s="256"/>
      <c r="Q20" s="2"/>
      <c r="R20" s="365"/>
      <c r="S20" s="366"/>
      <c r="T20" s="366"/>
      <c r="U20" s="367"/>
      <c r="V20" s="61"/>
      <c r="W20" s="388">
        <f t="shared" si="0"/>
        <v>0</v>
      </c>
      <c r="X20" s="388"/>
      <c r="Y20" s="388"/>
      <c r="Z20" s="388"/>
      <c r="AB20" s="346"/>
      <c r="AC20" s="347"/>
      <c r="AD20" s="347"/>
      <c r="AE20" s="347"/>
      <c r="AF20" s="347"/>
      <c r="AG20" s="347"/>
      <c r="AH20" s="347"/>
      <c r="AI20" s="347"/>
      <c r="AJ20" s="347"/>
      <c r="AK20" s="348"/>
    </row>
    <row r="21" spans="1:37" ht="18.75" customHeight="1" x14ac:dyDescent="0.25">
      <c r="B21" s="256" t="s">
        <v>431</v>
      </c>
      <c r="C21" s="256"/>
      <c r="D21" s="256"/>
      <c r="E21" s="256"/>
      <c r="F21" s="256"/>
      <c r="G21" s="256"/>
      <c r="H21" s="256"/>
      <c r="I21" s="256"/>
      <c r="J21" s="256"/>
      <c r="K21" s="256"/>
      <c r="L21" s="256"/>
      <c r="M21" s="256"/>
      <c r="N21" s="256"/>
      <c r="O21" s="256"/>
      <c r="P21" s="256"/>
      <c r="Q21" s="2"/>
      <c r="R21" s="315" t="str">
        <f>IFERROR($R$20/$R$18,"")</f>
        <v/>
      </c>
      <c r="S21" s="315"/>
      <c r="T21" s="315"/>
      <c r="U21" s="315"/>
      <c r="V21" s="7"/>
      <c r="W21" s="363" t="str">
        <f t="shared" si="0"/>
        <v/>
      </c>
      <c r="X21" s="363"/>
      <c r="Y21" s="363"/>
      <c r="Z21" s="363"/>
      <c r="AB21" s="349"/>
      <c r="AC21" s="350"/>
      <c r="AD21" s="350"/>
      <c r="AE21" s="350"/>
      <c r="AF21" s="350"/>
      <c r="AG21" s="350"/>
      <c r="AH21" s="350"/>
      <c r="AI21" s="350"/>
      <c r="AJ21" s="350"/>
      <c r="AK21" s="351"/>
    </row>
    <row r="22" spans="1:37" ht="18.75" customHeight="1" x14ac:dyDescent="0.25">
      <c r="B22" s="2"/>
      <c r="C22" s="2"/>
      <c r="D22" s="2"/>
      <c r="Q22" s="2"/>
      <c r="R22" s="2"/>
      <c r="V22" s="2"/>
      <c r="W22" s="2"/>
      <c r="X22" s="119"/>
      <c r="Y22" s="119"/>
      <c r="Z22" s="119"/>
      <c r="AB22" s="119"/>
      <c r="AC22" s="119"/>
      <c r="AD22" s="119"/>
      <c r="AE22" s="2"/>
      <c r="AF22" s="17"/>
      <c r="AG22" s="17"/>
      <c r="AH22" s="17"/>
      <c r="AI22" s="17"/>
      <c r="AJ22" s="17"/>
      <c r="AK22" s="119"/>
    </row>
    <row r="23" spans="1:37" ht="18.75" customHeight="1" x14ac:dyDescent="0.25">
      <c r="B23" s="256" t="s">
        <v>432</v>
      </c>
      <c r="C23" s="256"/>
      <c r="D23" s="256"/>
      <c r="E23" s="256"/>
      <c r="F23" s="256"/>
      <c r="G23" s="256"/>
      <c r="H23" s="256"/>
      <c r="I23" s="256"/>
      <c r="J23" s="256"/>
      <c r="K23" s="256"/>
      <c r="L23" s="256"/>
      <c r="M23" s="256"/>
      <c r="N23" s="256"/>
      <c r="O23" s="256"/>
      <c r="P23" s="256"/>
      <c r="Q23" s="2"/>
      <c r="R23" s="368"/>
      <c r="S23" s="368"/>
      <c r="T23" s="368"/>
      <c r="U23" s="368"/>
      <c r="V23" s="82"/>
      <c r="W23" s="386">
        <f>R23</f>
        <v>0</v>
      </c>
      <c r="X23" s="386"/>
      <c r="Y23" s="386"/>
      <c r="Z23" s="386"/>
      <c r="AB23" s="352" t="s">
        <v>669</v>
      </c>
      <c r="AC23" s="353"/>
      <c r="AD23" s="353"/>
      <c r="AE23" s="353"/>
      <c r="AF23" s="353"/>
      <c r="AG23" s="353"/>
      <c r="AH23" s="353"/>
      <c r="AI23" s="353"/>
      <c r="AJ23" s="353"/>
      <c r="AK23" s="354"/>
    </row>
    <row r="24" spans="1:37" ht="18.75" customHeight="1" x14ac:dyDescent="0.25">
      <c r="B24" s="256" t="s">
        <v>470</v>
      </c>
      <c r="C24" s="256"/>
      <c r="D24" s="256"/>
      <c r="E24" s="256"/>
      <c r="F24" s="256"/>
      <c r="G24" s="256"/>
      <c r="H24" s="256"/>
      <c r="I24" s="256"/>
      <c r="J24" s="256"/>
      <c r="K24" s="256"/>
      <c r="L24" s="256"/>
      <c r="M24" s="256"/>
      <c r="N24" s="256"/>
      <c r="O24" s="256"/>
      <c r="P24" s="256"/>
      <c r="Q24" s="2"/>
      <c r="R24" s="372">
        <f>IFERROR(0.85*$R$23^2+0.15*$R$23,"")</f>
        <v>0</v>
      </c>
      <c r="S24" s="372"/>
      <c r="T24" s="372"/>
      <c r="U24" s="372"/>
      <c r="V24" s="2"/>
      <c r="W24" s="372">
        <f>IFERROR(0.85*$W$23^2+0.15*$W$23,"")</f>
        <v>0</v>
      </c>
      <c r="X24" s="372"/>
      <c r="Y24" s="372"/>
      <c r="Z24" s="372"/>
      <c r="AB24" s="355"/>
      <c r="AC24" s="356"/>
      <c r="AD24" s="356"/>
      <c r="AE24" s="356"/>
      <c r="AF24" s="356"/>
      <c r="AG24" s="356"/>
      <c r="AH24" s="356"/>
      <c r="AI24" s="356"/>
      <c r="AJ24" s="356"/>
      <c r="AK24" s="357"/>
    </row>
    <row r="25" spans="1:37" ht="18.75" customHeight="1" x14ac:dyDescent="0.25">
      <c r="B25" s="256" t="s">
        <v>23</v>
      </c>
      <c r="C25" s="256"/>
      <c r="D25" s="256"/>
      <c r="E25" s="256"/>
      <c r="F25" s="256"/>
      <c r="G25" s="256"/>
      <c r="H25" s="256"/>
      <c r="I25" s="256"/>
      <c r="J25" s="256"/>
      <c r="K25" s="256"/>
      <c r="L25" s="256"/>
      <c r="M25" s="256"/>
      <c r="N25" s="256"/>
      <c r="O25" s="256"/>
      <c r="P25" s="256"/>
      <c r="Q25" s="64" t="str">
        <f>IFERROR(R21/R19,"")</f>
        <v/>
      </c>
      <c r="R25" s="372" t="str">
        <f>IFERROR(INDEX('Distribution Factor'!$B$3:$B$53,MATCH($Q$25,'Distribution Factor'!$A$3:$A$53,-1)),"")</f>
        <v/>
      </c>
      <c r="S25" s="372"/>
      <c r="T25" s="372"/>
      <c r="U25" s="372"/>
      <c r="V25" s="65" t="str">
        <f>IFERROR(W21/W19,"")</f>
        <v/>
      </c>
      <c r="W25" s="372" t="str">
        <f>IFERROR(INDEX('Distribution Factor'!$B$3:$B$53,MATCH($V$25,'Distribution Factor'!$A$3:$A$53,-1)),"")</f>
        <v/>
      </c>
      <c r="X25" s="372"/>
      <c r="Y25" s="372"/>
      <c r="Z25" s="372"/>
      <c r="AB25" s="355"/>
      <c r="AC25" s="356"/>
      <c r="AD25" s="356"/>
      <c r="AE25" s="356"/>
      <c r="AF25" s="356"/>
      <c r="AG25" s="356"/>
      <c r="AH25" s="356"/>
      <c r="AI25" s="356"/>
      <c r="AJ25" s="356"/>
      <c r="AK25" s="357"/>
    </row>
    <row r="26" spans="1:37" ht="18.75" customHeight="1" x14ac:dyDescent="0.25">
      <c r="B26" s="36"/>
      <c r="C26" s="36"/>
      <c r="D26" s="36"/>
      <c r="E26" s="36"/>
      <c r="F26" s="36"/>
      <c r="G26" s="36"/>
      <c r="H26" s="36"/>
      <c r="I26" s="36"/>
      <c r="J26" s="36"/>
      <c r="K26" s="36"/>
      <c r="L26" s="36"/>
      <c r="M26" s="35"/>
      <c r="N26" s="35"/>
      <c r="O26" s="35"/>
      <c r="P26" s="35"/>
      <c r="Q26" s="2"/>
      <c r="R26" s="2"/>
      <c r="V26" s="2"/>
      <c r="W26" s="2"/>
      <c r="AB26" s="355"/>
      <c r="AC26" s="356"/>
      <c r="AD26" s="356"/>
      <c r="AE26" s="356"/>
      <c r="AF26" s="356"/>
      <c r="AG26" s="356"/>
      <c r="AH26" s="356"/>
      <c r="AI26" s="356"/>
      <c r="AJ26" s="356"/>
      <c r="AK26" s="357"/>
    </row>
    <row r="27" spans="1:37" ht="18.75" customHeight="1" x14ac:dyDescent="0.25">
      <c r="B27" s="256" t="s">
        <v>433</v>
      </c>
      <c r="C27" s="256"/>
      <c r="D27" s="256"/>
      <c r="E27" s="256"/>
      <c r="F27" s="256"/>
      <c r="G27" s="256"/>
      <c r="H27" s="256"/>
      <c r="I27" s="256"/>
      <c r="J27" s="256"/>
      <c r="K27" s="256"/>
      <c r="L27" s="256"/>
      <c r="M27" s="256"/>
      <c r="N27" s="256"/>
      <c r="O27" s="256"/>
      <c r="P27" s="256"/>
      <c r="Q27" s="2"/>
      <c r="R27" s="371"/>
      <c r="S27" s="371"/>
      <c r="T27" s="371"/>
      <c r="U27" s="371"/>
      <c r="V27" s="2"/>
      <c r="W27" s="371"/>
      <c r="X27" s="371"/>
      <c r="Y27" s="371"/>
      <c r="Z27" s="371"/>
      <c r="AB27" s="358"/>
      <c r="AC27" s="359"/>
      <c r="AD27" s="359"/>
      <c r="AE27" s="359"/>
      <c r="AF27" s="359"/>
      <c r="AG27" s="359"/>
      <c r="AH27" s="359"/>
      <c r="AI27" s="359"/>
      <c r="AJ27" s="359"/>
      <c r="AK27" s="360"/>
    </row>
    <row r="28" spans="1:37" ht="18.75" customHeight="1" x14ac:dyDescent="0.25">
      <c r="B28" s="2"/>
      <c r="C28" s="2"/>
      <c r="D28" s="2"/>
      <c r="Q28" s="2"/>
      <c r="R28" s="2"/>
      <c r="V28" s="2"/>
      <c r="W28" s="2"/>
      <c r="AB28" s="119"/>
      <c r="AC28" s="119"/>
      <c r="AD28" s="119"/>
      <c r="AE28" s="2"/>
      <c r="AF28" s="119"/>
      <c r="AG28" s="119"/>
      <c r="AH28" s="119"/>
      <c r="AI28" s="119"/>
      <c r="AJ28" s="119"/>
      <c r="AK28" s="119"/>
    </row>
    <row r="29" spans="1:37" ht="18.75" customHeight="1" x14ac:dyDescent="0.25">
      <c r="B29" s="256" t="s">
        <v>24</v>
      </c>
      <c r="C29" s="256"/>
      <c r="D29" s="256"/>
      <c r="E29" s="256"/>
      <c r="F29" s="256"/>
      <c r="G29" s="256"/>
      <c r="H29" s="256"/>
      <c r="I29" s="256"/>
      <c r="J29" s="256"/>
      <c r="K29" s="256"/>
      <c r="L29" s="256"/>
      <c r="M29" s="256"/>
      <c r="N29" s="256"/>
      <c r="O29" s="256"/>
      <c r="P29" s="256"/>
      <c r="Q29" s="2"/>
      <c r="R29" s="255" t="s">
        <v>3</v>
      </c>
      <c r="S29" s="255"/>
      <c r="T29" s="255"/>
      <c r="U29" s="255"/>
      <c r="V29" s="2"/>
      <c r="W29" s="255" t="s">
        <v>3</v>
      </c>
      <c r="X29" s="255"/>
      <c r="Y29" s="255"/>
      <c r="Z29" s="255"/>
      <c r="AB29" s="119"/>
      <c r="AC29" s="119"/>
      <c r="AD29" s="119"/>
      <c r="AE29" s="2"/>
      <c r="AF29" s="119"/>
      <c r="AG29" s="119"/>
      <c r="AH29" s="119"/>
      <c r="AI29" s="119"/>
      <c r="AJ29" s="119"/>
      <c r="AK29" s="119"/>
    </row>
    <row r="30" spans="1:37" ht="18.75" customHeight="1" x14ac:dyDescent="0.25">
      <c r="B30" s="256" t="s">
        <v>25</v>
      </c>
      <c r="C30" s="256"/>
      <c r="D30" s="256"/>
      <c r="E30" s="256"/>
      <c r="F30" s="256"/>
      <c r="G30" s="256"/>
      <c r="H30" s="256"/>
      <c r="I30" s="256"/>
      <c r="J30" s="256"/>
      <c r="K30" s="256"/>
      <c r="L30" s="256"/>
      <c r="M30" s="256"/>
      <c r="N30" s="256"/>
      <c r="O30" s="256"/>
      <c r="P30" s="256"/>
      <c r="Q30" s="2"/>
      <c r="R30" s="255" t="s">
        <v>3</v>
      </c>
      <c r="S30" s="255"/>
      <c r="T30" s="255"/>
      <c r="U30" s="255"/>
      <c r="V30" s="2"/>
      <c r="W30" s="255" t="s">
        <v>3</v>
      </c>
      <c r="X30" s="255"/>
      <c r="Y30" s="255"/>
      <c r="Z30" s="255"/>
      <c r="AB30" s="119"/>
      <c r="AC30" s="119"/>
      <c r="AD30" s="17"/>
      <c r="AE30" s="2"/>
      <c r="AF30" s="119"/>
      <c r="AG30" s="119"/>
      <c r="AH30" s="119"/>
      <c r="AI30" s="119"/>
      <c r="AJ30" s="119"/>
      <c r="AK30" s="119"/>
    </row>
    <row r="31" spans="1:37" ht="18.75" customHeight="1" x14ac:dyDescent="0.25">
      <c r="A31" s="10"/>
      <c r="B31" s="336" t="str">
        <f>IFERROR(IF(OR($R$29+$R$30&lt;2,$W$29+$W$30&lt;2),"**Phase plus neutral conductors must add to 2 or more**",""),"")</f>
        <v/>
      </c>
      <c r="C31" s="336"/>
      <c r="D31" s="336"/>
      <c r="E31" s="336"/>
      <c r="F31" s="336"/>
      <c r="G31" s="336"/>
      <c r="H31" s="336"/>
      <c r="I31" s="336"/>
      <c r="J31" s="336"/>
      <c r="K31" s="336"/>
      <c r="L31" s="336"/>
      <c r="M31" s="336"/>
      <c r="N31" s="336"/>
      <c r="O31" s="336"/>
      <c r="P31" s="336"/>
      <c r="Q31" s="2"/>
      <c r="R31" s="340"/>
      <c r="S31" s="341"/>
      <c r="T31" s="341"/>
      <c r="U31" s="342"/>
      <c r="V31" s="2"/>
      <c r="W31" s="2"/>
      <c r="AB31" s="119"/>
      <c r="AC31" s="119"/>
      <c r="AD31" s="119"/>
      <c r="AE31" s="2"/>
      <c r="AF31" s="119"/>
      <c r="AG31" s="119"/>
      <c r="AH31" s="119"/>
      <c r="AI31" s="119"/>
      <c r="AJ31" s="119"/>
      <c r="AK31" s="119"/>
    </row>
    <row r="32" spans="1:37" ht="18.75" customHeight="1" x14ac:dyDescent="0.25">
      <c r="B32" s="256" t="s">
        <v>27</v>
      </c>
      <c r="C32" s="256"/>
      <c r="D32" s="256"/>
      <c r="E32" s="256"/>
      <c r="F32" s="256"/>
      <c r="G32" s="256"/>
      <c r="H32" s="256"/>
      <c r="I32" s="256"/>
      <c r="J32" s="256"/>
      <c r="K32" s="256"/>
      <c r="L32" s="256"/>
      <c r="M32" s="256"/>
      <c r="N32" s="256"/>
      <c r="O32" s="256"/>
      <c r="P32" s="256"/>
      <c r="Q32" s="2"/>
      <c r="R32" s="333" t="s">
        <v>3</v>
      </c>
      <c r="S32" s="333"/>
      <c r="T32" s="333"/>
      <c r="U32" s="333"/>
      <c r="V32" s="2"/>
      <c r="W32" s="255" t="s">
        <v>3</v>
      </c>
      <c r="X32" s="255"/>
      <c r="Y32" s="255"/>
      <c r="Z32" s="255"/>
      <c r="AB32" s="119"/>
      <c r="AC32" s="119"/>
      <c r="AD32" s="119"/>
      <c r="AE32" s="2"/>
      <c r="AF32" s="119"/>
      <c r="AG32" s="119"/>
      <c r="AH32" s="119"/>
      <c r="AI32" s="119"/>
      <c r="AJ32" s="119"/>
      <c r="AK32" s="119"/>
    </row>
    <row r="33" spans="2:61" ht="18.75" customHeight="1" x14ac:dyDescent="0.25">
      <c r="B33" s="256" t="s">
        <v>26</v>
      </c>
      <c r="C33" s="256"/>
      <c r="D33" s="256"/>
      <c r="E33" s="256"/>
      <c r="F33" s="256"/>
      <c r="G33" s="256"/>
      <c r="H33" s="256"/>
      <c r="I33" s="256"/>
      <c r="J33" s="256"/>
      <c r="K33" s="256"/>
      <c r="L33" s="256"/>
      <c r="M33" s="256"/>
      <c r="N33" s="256"/>
      <c r="O33" s="256"/>
      <c r="P33" s="256"/>
      <c r="Q33" s="2"/>
      <c r="R33" s="172" t="s">
        <v>3</v>
      </c>
      <c r="S33" s="172"/>
      <c r="T33" s="172"/>
      <c r="U33" s="172"/>
      <c r="V33" s="2"/>
      <c r="W33" s="255" t="s">
        <v>3</v>
      </c>
      <c r="X33" s="255"/>
      <c r="Y33" s="255"/>
      <c r="Z33" s="255"/>
      <c r="AB33" s="119"/>
      <c r="AC33" s="119"/>
      <c r="AD33" s="119"/>
      <c r="AE33" s="17"/>
      <c r="AF33" s="2"/>
      <c r="AG33" s="119"/>
      <c r="AH33" s="119"/>
      <c r="AI33" s="119"/>
      <c r="AJ33" s="119"/>
      <c r="AK33" s="119"/>
    </row>
    <row r="34" spans="2:61" ht="18.75" customHeight="1" x14ac:dyDescent="0.25">
      <c r="B34" s="256" t="s">
        <v>109</v>
      </c>
      <c r="C34" s="256"/>
      <c r="D34" s="256"/>
      <c r="E34" s="256"/>
      <c r="F34" s="256"/>
      <c r="G34" s="256"/>
      <c r="H34" s="256"/>
      <c r="I34" s="256"/>
      <c r="J34" s="256"/>
      <c r="K34" s="256"/>
      <c r="L34" s="256"/>
      <c r="M34" s="256"/>
      <c r="N34" s="256"/>
      <c r="O34" s="256"/>
      <c r="P34" s="256"/>
      <c r="Q34" s="2"/>
      <c r="R34" s="257" t="str">
        <f ca="1">IFERROR(VLOOKUP($R$33,INDIRECT($R$32&amp;"T"),2,),"")</f>
        <v/>
      </c>
      <c r="S34" s="257"/>
      <c r="T34" s="257"/>
      <c r="U34" s="257"/>
      <c r="V34" s="2"/>
      <c r="W34" s="257" t="str">
        <f ca="1">IFERROR(VLOOKUP($W$33,INDIRECT($W$32&amp;"T"),2,),"")</f>
        <v/>
      </c>
      <c r="X34" s="257"/>
      <c r="Y34" s="257"/>
      <c r="Z34" s="257"/>
      <c r="AB34" s="119"/>
      <c r="AC34" s="119"/>
      <c r="AD34" s="17"/>
      <c r="AE34" s="17"/>
      <c r="AF34" s="119"/>
      <c r="AG34" s="17"/>
      <c r="AH34" s="119"/>
      <c r="AI34" s="119"/>
      <c r="AJ34" s="119"/>
      <c r="AK34" s="119"/>
    </row>
    <row r="35" spans="2:61" ht="18.75" customHeight="1" x14ac:dyDescent="0.25">
      <c r="Q35" s="2"/>
      <c r="R35" s="2"/>
      <c r="S35" s="2"/>
      <c r="V35" s="2"/>
      <c r="W35" s="2"/>
      <c r="AB35" s="119"/>
      <c r="AC35" s="119"/>
      <c r="AD35" s="119"/>
      <c r="AE35" s="119"/>
      <c r="AF35" s="119"/>
      <c r="AG35" s="119"/>
      <c r="AH35" s="119"/>
      <c r="AI35" s="119"/>
      <c r="AJ35" s="119"/>
      <c r="AK35" s="119"/>
    </row>
    <row r="36" spans="2:61" ht="18.75" customHeight="1" x14ac:dyDescent="0.25">
      <c r="B36" s="256" t="s">
        <v>29</v>
      </c>
      <c r="C36" s="256"/>
      <c r="D36" s="256"/>
      <c r="E36" s="256"/>
      <c r="F36" s="256"/>
      <c r="G36" s="256"/>
      <c r="H36" s="256"/>
      <c r="I36" s="256"/>
      <c r="J36" s="256"/>
      <c r="K36" s="256"/>
      <c r="L36" s="256"/>
      <c r="M36" s="256"/>
      <c r="N36" s="256"/>
      <c r="O36" s="256"/>
      <c r="P36" s="256"/>
      <c r="Q36" s="2"/>
      <c r="R36" s="333" t="s">
        <v>3</v>
      </c>
      <c r="S36" s="333"/>
      <c r="T36" s="333"/>
      <c r="U36" s="333"/>
      <c r="V36" s="2"/>
      <c r="W36" s="255" t="s">
        <v>3</v>
      </c>
      <c r="X36" s="255"/>
      <c r="Y36" s="255"/>
      <c r="Z36" s="255"/>
      <c r="AB36" s="119"/>
      <c r="AC36" s="119"/>
      <c r="AD36" s="119"/>
      <c r="AE36" s="2"/>
      <c r="AF36" s="119"/>
      <c r="AG36" s="119"/>
      <c r="AH36" s="119"/>
      <c r="AI36" s="119"/>
      <c r="AJ36" s="119"/>
      <c r="AK36" s="119"/>
    </row>
    <row r="37" spans="2:61" ht="18.75" customHeight="1" x14ac:dyDescent="0.25">
      <c r="B37" s="256" t="s">
        <v>28</v>
      </c>
      <c r="C37" s="256"/>
      <c r="D37" s="256"/>
      <c r="E37" s="256"/>
      <c r="F37" s="256"/>
      <c r="G37" s="256"/>
      <c r="H37" s="256"/>
      <c r="I37" s="256"/>
      <c r="J37" s="256"/>
      <c r="K37" s="256"/>
      <c r="L37" s="256"/>
      <c r="M37" s="256"/>
      <c r="N37" s="256"/>
      <c r="O37" s="256"/>
      <c r="P37" s="256"/>
      <c r="Q37" s="2"/>
      <c r="R37" s="255" t="s">
        <v>3</v>
      </c>
      <c r="S37" s="255"/>
      <c r="T37" s="255"/>
      <c r="U37" s="255"/>
      <c r="V37" s="2"/>
      <c r="W37" s="255" t="s">
        <v>3</v>
      </c>
      <c r="X37" s="255"/>
      <c r="Y37" s="255"/>
      <c r="Z37" s="255"/>
      <c r="AB37" s="119"/>
      <c r="AC37" s="119"/>
      <c r="AD37" s="119"/>
      <c r="AE37" s="2"/>
      <c r="AF37" s="119"/>
      <c r="AG37" s="119"/>
      <c r="AH37" s="119"/>
      <c r="AI37" s="119"/>
      <c r="AJ37" s="119"/>
      <c r="AK37" s="119"/>
    </row>
    <row r="38" spans="2:61" ht="18.75" customHeight="1" x14ac:dyDescent="0.25">
      <c r="B38" s="256" t="s">
        <v>109</v>
      </c>
      <c r="C38" s="256"/>
      <c r="D38" s="256"/>
      <c r="E38" s="256"/>
      <c r="F38" s="256"/>
      <c r="G38" s="256"/>
      <c r="H38" s="256"/>
      <c r="I38" s="256"/>
      <c r="J38" s="256"/>
      <c r="K38" s="256"/>
      <c r="L38" s="256"/>
      <c r="M38" s="256"/>
      <c r="N38" s="256"/>
      <c r="O38" s="256"/>
      <c r="P38" s="256"/>
      <c r="R38" s="257" t="str">
        <f ca="1">IFERROR(VLOOKUP($R$37,INDIRECT($R$36&amp;"T"),2,),"")</f>
        <v/>
      </c>
      <c r="S38" s="257"/>
      <c r="T38" s="257"/>
      <c r="U38" s="257"/>
      <c r="W38" s="257" t="str">
        <f ca="1">IFERROR(VLOOKUP($W$37,INDIRECT($W$36&amp;"T"),2,),"")</f>
        <v/>
      </c>
      <c r="X38" s="257"/>
      <c r="Y38" s="257"/>
      <c r="Z38" s="257"/>
      <c r="AB38" s="119"/>
      <c r="AC38" s="119"/>
      <c r="AD38" s="119"/>
      <c r="AE38" s="119"/>
      <c r="AF38" s="119"/>
      <c r="AG38" s="119"/>
      <c r="AH38" s="119"/>
      <c r="AI38" s="119"/>
      <c r="AJ38" s="119"/>
      <c r="AK38" s="119"/>
    </row>
    <row r="39" spans="2:61" ht="18.75" customHeight="1" x14ac:dyDescent="0.25">
      <c r="B39" s="2"/>
      <c r="C39" s="2"/>
      <c r="D39" s="2"/>
      <c r="S39" s="2"/>
      <c r="AB39" s="119"/>
      <c r="AC39" s="119"/>
      <c r="AD39" s="119"/>
      <c r="AE39" s="119"/>
      <c r="AF39" s="119"/>
      <c r="AG39" s="119"/>
      <c r="AH39" s="119"/>
      <c r="AI39" s="119"/>
      <c r="AJ39" s="119"/>
      <c r="AK39" s="119"/>
    </row>
    <row r="40" spans="2:61" ht="18.75" customHeight="1" x14ac:dyDescent="0.25">
      <c r="B40" s="256" t="s">
        <v>471</v>
      </c>
      <c r="C40" s="256"/>
      <c r="D40" s="256"/>
      <c r="E40" s="256"/>
      <c r="F40" s="256"/>
      <c r="G40" s="256"/>
      <c r="H40" s="256"/>
      <c r="I40" s="256"/>
      <c r="J40" s="256"/>
      <c r="K40" s="256"/>
      <c r="L40" s="256"/>
      <c r="M40" s="256"/>
      <c r="N40" s="256"/>
      <c r="O40" s="256"/>
      <c r="P40" s="256"/>
      <c r="R40" s="294" t="str">
        <f ca="1">IFERROR(VLOOKUP($R$33,INDIRECT($R$32&amp;"T"),2,)*$W$16,"")</f>
        <v/>
      </c>
      <c r="S40" s="294"/>
      <c r="T40" s="294"/>
      <c r="U40" s="294"/>
      <c r="W40" s="294" t="str">
        <f ca="1">IFERROR(VLOOKUP($W$33,INDIRECT($W$32&amp;"T"),2,)*$W$16,"")</f>
        <v/>
      </c>
      <c r="X40" s="294"/>
      <c r="Y40" s="294"/>
      <c r="Z40" s="294"/>
      <c r="AB40" s="119"/>
      <c r="AC40" s="119"/>
      <c r="AD40" s="119"/>
      <c r="AE40" s="2"/>
      <c r="AF40" s="119"/>
      <c r="AG40" s="119"/>
      <c r="AH40" s="119"/>
      <c r="AI40" s="119"/>
      <c r="AJ40" s="119"/>
      <c r="AK40" s="119"/>
    </row>
    <row r="41" spans="2:61" ht="18.75" customHeight="1" x14ac:dyDescent="0.25">
      <c r="B41" s="256" t="s">
        <v>472</v>
      </c>
      <c r="C41" s="256"/>
      <c r="D41" s="256"/>
      <c r="E41" s="256"/>
      <c r="F41" s="256"/>
      <c r="G41" s="256"/>
      <c r="H41" s="256"/>
      <c r="I41" s="256"/>
      <c r="J41" s="256"/>
      <c r="K41" s="256"/>
      <c r="L41" s="256"/>
      <c r="M41" s="256"/>
      <c r="N41" s="256"/>
      <c r="O41" s="256"/>
      <c r="P41" s="256"/>
      <c r="R41" s="294">
        <f ca="1">IFERROR(VLOOKUP($R$37,INDIRECT($R$36&amp;"T"),2,)*$W$16,0)</f>
        <v>0</v>
      </c>
      <c r="S41" s="294"/>
      <c r="T41" s="294"/>
      <c r="U41" s="294"/>
      <c r="W41" s="294">
        <f ca="1">IFERROR(VLOOKUP($W$37,INDIRECT($W$36&amp;"T"),2,)*$W$16,0)</f>
        <v>0</v>
      </c>
      <c r="X41" s="294"/>
      <c r="Y41" s="294"/>
      <c r="Z41" s="294"/>
      <c r="AB41" s="119"/>
      <c r="AC41" s="119"/>
      <c r="AD41" s="119"/>
      <c r="AE41" s="2"/>
      <c r="AF41" s="119"/>
      <c r="AG41" s="119"/>
      <c r="AH41" s="119"/>
      <c r="AI41" s="119"/>
      <c r="AJ41" s="119"/>
      <c r="AK41" s="119"/>
    </row>
    <row r="42" spans="2:61" ht="18.75" customHeight="1" x14ac:dyDescent="0.25">
      <c r="B42" s="34"/>
      <c r="C42" s="34"/>
      <c r="D42" s="34"/>
      <c r="E42" s="34"/>
      <c r="F42" s="34"/>
      <c r="G42" s="34"/>
      <c r="H42" s="34"/>
      <c r="I42" s="34"/>
      <c r="J42" s="34"/>
      <c r="K42" s="34"/>
      <c r="L42" s="34"/>
      <c r="M42" s="34"/>
      <c r="N42" s="34"/>
      <c r="O42" s="34"/>
      <c r="P42" s="34"/>
      <c r="AB42" s="119"/>
      <c r="AC42" s="119"/>
      <c r="AD42" s="119"/>
      <c r="AE42" s="2"/>
      <c r="AF42" s="119"/>
      <c r="AG42" s="119"/>
      <c r="AH42" s="119"/>
      <c r="AI42" s="119"/>
      <c r="AJ42" s="119"/>
      <c r="AK42" s="119"/>
    </row>
    <row r="43" spans="2:61" ht="18.75" customHeight="1" x14ac:dyDescent="0.25">
      <c r="B43" s="286" t="s">
        <v>469</v>
      </c>
      <c r="C43" s="286"/>
      <c r="D43" s="286"/>
      <c r="E43" s="286"/>
      <c r="F43" s="286"/>
      <c r="G43" s="286"/>
      <c r="H43" s="286"/>
      <c r="I43" s="286"/>
      <c r="J43" s="286"/>
      <c r="K43" s="286"/>
      <c r="L43" s="286"/>
      <c r="M43" s="34"/>
      <c r="N43" s="34"/>
      <c r="R43" s="261" t="s">
        <v>7</v>
      </c>
      <c r="S43" s="262"/>
      <c r="T43" s="262"/>
      <c r="U43" s="263"/>
      <c r="Z43" s="17"/>
      <c r="AA43" s="17"/>
      <c r="AB43" s="343" t="s">
        <v>687</v>
      </c>
      <c r="AC43" s="344"/>
      <c r="AD43" s="344"/>
      <c r="AE43" s="344"/>
      <c r="AF43" s="344"/>
      <c r="AG43" s="344"/>
      <c r="AH43" s="344"/>
      <c r="AI43" s="344"/>
      <c r="AJ43" s="344"/>
      <c r="AK43" s="345"/>
    </row>
    <row r="44" spans="2:61" ht="18.75" customHeight="1" x14ac:dyDescent="0.25">
      <c r="B44" s="78"/>
      <c r="C44" s="78"/>
      <c r="D44" s="78"/>
      <c r="E44" s="78"/>
      <c r="F44" s="78"/>
      <c r="G44" s="78"/>
      <c r="H44" s="78"/>
      <c r="I44" s="78"/>
      <c r="M44" s="34"/>
      <c r="N44" s="34"/>
      <c r="R44" s="79"/>
      <c r="AB44" s="346"/>
      <c r="AC44" s="347"/>
      <c r="AD44" s="347"/>
      <c r="AE44" s="347"/>
      <c r="AF44" s="347"/>
      <c r="AG44" s="347"/>
      <c r="AH44" s="347"/>
      <c r="AI44" s="347"/>
      <c r="AJ44" s="347"/>
      <c r="AK44" s="348"/>
      <c r="BC44" s="32"/>
      <c r="BD44" s="32"/>
      <c r="BE44" s="32"/>
      <c r="BF44" s="32"/>
      <c r="BG44" s="32"/>
      <c r="BH44" s="32"/>
      <c r="BI44" s="32"/>
    </row>
    <row r="45" spans="2:61" ht="18.75" customHeight="1" x14ac:dyDescent="0.25">
      <c r="J45" s="264" t="s">
        <v>397</v>
      </c>
      <c r="K45" s="265"/>
      <c r="L45" s="266"/>
      <c r="M45" s="34"/>
      <c r="N45" s="264" t="s">
        <v>398</v>
      </c>
      <c r="O45" s="265"/>
      <c r="P45" s="266"/>
      <c r="AB45" s="346"/>
      <c r="AC45" s="347"/>
      <c r="AD45" s="347"/>
      <c r="AE45" s="347"/>
      <c r="AF45" s="347"/>
      <c r="AG45" s="347"/>
      <c r="AH45" s="347"/>
      <c r="AI45" s="347"/>
      <c r="AJ45" s="347"/>
      <c r="AK45" s="348"/>
      <c r="AP45" s="17"/>
      <c r="AR45" s="17"/>
      <c r="AS45" s="89"/>
      <c r="AT45" s="17"/>
      <c r="AU45" s="17"/>
      <c r="AV45" s="17"/>
      <c r="AW45" s="17"/>
      <c r="AX45" s="17"/>
      <c r="AY45" s="17"/>
      <c r="AZ45" s="17"/>
      <c r="BA45" s="17"/>
    </row>
    <row r="46" spans="2:61" ht="18.75" customHeight="1" x14ac:dyDescent="0.25">
      <c r="B46" s="2"/>
      <c r="C46" s="2"/>
      <c r="D46" s="2"/>
      <c r="J46" s="267"/>
      <c r="K46" s="268"/>
      <c r="L46" s="269"/>
      <c r="N46" s="267"/>
      <c r="O46" s="268"/>
      <c r="P46" s="269"/>
      <c r="R46" s="23"/>
      <c r="W46" s="23"/>
      <c r="AB46" s="349"/>
      <c r="AC46" s="350"/>
      <c r="AD46" s="350"/>
      <c r="AE46" s="350"/>
      <c r="AF46" s="350"/>
      <c r="AG46" s="350"/>
      <c r="AH46" s="350"/>
      <c r="AI46" s="350"/>
      <c r="AJ46" s="350"/>
      <c r="AK46" s="351"/>
    </row>
    <row r="47" spans="2:61" ht="18.75" customHeight="1" x14ac:dyDescent="0.25">
      <c r="B47" s="258" t="s">
        <v>434</v>
      </c>
      <c r="C47" s="259"/>
      <c r="D47" s="259"/>
      <c r="E47" s="259"/>
      <c r="F47" s="259"/>
      <c r="G47" s="259"/>
      <c r="H47" s="260"/>
      <c r="J47" s="337"/>
      <c r="K47" s="338"/>
      <c r="L47" s="339"/>
      <c r="N47" s="274">
        <f>IF(J47="",0,J47)</f>
        <v>0</v>
      </c>
      <c r="O47" s="275"/>
      <c r="P47" s="276"/>
      <c r="R47" s="270" t="str">
        <f>IFERROR(IF($R$43="No",$R$19/($R$29*$R$27),""),"")</f>
        <v/>
      </c>
      <c r="S47" s="270"/>
      <c r="T47" s="270"/>
      <c r="U47" s="270"/>
      <c r="W47" s="270" t="str">
        <f>IFERROR(IF($R$43="No",$W$19/($W$29*$W$27),""),"")</f>
        <v/>
      </c>
      <c r="X47" s="270"/>
      <c r="Y47" s="270"/>
      <c r="Z47" s="270"/>
      <c r="AO47" s="2"/>
    </row>
    <row r="48" spans="2:61" ht="18.75" customHeight="1" x14ac:dyDescent="0.25">
      <c r="B48" s="258" t="s">
        <v>435</v>
      </c>
      <c r="C48" s="259"/>
      <c r="D48" s="259"/>
      <c r="E48" s="259"/>
      <c r="F48" s="259"/>
      <c r="G48" s="259"/>
      <c r="H48" s="260"/>
      <c r="J48" s="337"/>
      <c r="K48" s="338"/>
      <c r="L48" s="339"/>
      <c r="N48" s="274">
        <f>J48</f>
        <v>0</v>
      </c>
      <c r="O48" s="275"/>
      <c r="P48" s="276"/>
      <c r="R48" s="270" t="str">
        <f>IFERROR(IF(AND($R$29&gt;=2,$R$43="No"), $R$19/($R$29*$R$27), 0),"")</f>
        <v/>
      </c>
      <c r="S48" s="270"/>
      <c r="T48" s="270"/>
      <c r="U48" s="270"/>
      <c r="W48" s="270" t="str">
        <f>IFERROR(IF(AND($W$29&gt;=2,$R$43="No"), $W$19/($W$29*$W$27), 0),"")</f>
        <v/>
      </c>
      <c r="X48" s="270"/>
      <c r="Y48" s="270"/>
      <c r="Z48" s="270"/>
      <c r="AO48" s="2"/>
    </row>
    <row r="49" spans="1:54" ht="18.75" customHeight="1" x14ac:dyDescent="0.25">
      <c r="B49" s="258" t="s">
        <v>436</v>
      </c>
      <c r="C49" s="259"/>
      <c r="D49" s="259"/>
      <c r="E49" s="259"/>
      <c r="F49" s="259"/>
      <c r="G49" s="259"/>
      <c r="H49" s="260"/>
      <c r="J49" s="337"/>
      <c r="K49" s="338"/>
      <c r="L49" s="339"/>
      <c r="N49" s="274">
        <f t="shared" ref="N49" si="1">J49</f>
        <v>0</v>
      </c>
      <c r="O49" s="275"/>
      <c r="P49" s="276"/>
      <c r="R49" s="270" t="str">
        <f>IFERROR(IF(AND($R$29&gt;=3,$R$43="No"), $R$19/($R$29*$R$27), 0),"")</f>
        <v/>
      </c>
      <c r="S49" s="270"/>
      <c r="T49" s="270"/>
      <c r="U49" s="270"/>
      <c r="W49" s="270" t="str">
        <f>IFERROR(IF(AND($W$29&gt;=3,$R$43="No"), $W$19/($W$29*$W$27), 0),"")</f>
        <v/>
      </c>
      <c r="X49" s="270"/>
      <c r="Y49" s="270"/>
      <c r="Z49" s="270"/>
      <c r="AD49" s="10"/>
      <c r="AO49" s="2"/>
    </row>
    <row r="50" spans="1:54" ht="18.75" customHeight="1" x14ac:dyDescent="0.25">
      <c r="B50" s="258" t="s">
        <v>437</v>
      </c>
      <c r="C50" s="259"/>
      <c r="D50" s="259"/>
      <c r="E50" s="259"/>
      <c r="F50" s="259"/>
      <c r="G50" s="259"/>
      <c r="H50" s="260"/>
      <c r="J50" s="274">
        <f>IFERROR(IF(OR(R30=0,R30="--Select--"),0,IF(AND(R29=1,R30=1),J47,IF(MAX($J$47:$L$49)/MIN(J47:L49)&gt;1.15, SQRT($J$47^2+$J$48^2+$J$49^2-$J$47*$J$48-$J$48*$J$49-$J$49*$J$47),$J$47*0.15))),"")</f>
        <v>0</v>
      </c>
      <c r="K50" s="275"/>
      <c r="L50" s="276"/>
      <c r="N50" s="274">
        <f>IFERROR(IF(OR(W30=0,W30="--Select--"),0,IF(AND(W29=1,W30=1),N47,IF(MAX($N$47:$P$49)/MIN(N47:P49)&gt;1.15, SQRT($N$47^2+$N$48^2+$N$49^2-$N$47*$N$48-$N$48*$N$49-$N$49*$N$47),$N$47*0.15))),"")</f>
        <v>0</v>
      </c>
      <c r="O50" s="275"/>
      <c r="P50" s="276"/>
      <c r="R50" s="270">
        <f>IFERROR(IF(OR(R30=0,R30="--Select--",R43="Yes"),0,IF(AND(R29=1,R30=1),R47,0.15*$R$47)),"")</f>
        <v>0</v>
      </c>
      <c r="S50" s="270"/>
      <c r="T50" s="270"/>
      <c r="U50" s="270"/>
      <c r="W50" s="270">
        <f>IFERROR(IF(OR(W30=0,W30="--Select--",R43="Yes"),0,IF(AND(W29=1,W30=1),W47,0.15*$W$47)),"")</f>
        <v>0</v>
      </c>
      <c r="X50" s="270"/>
      <c r="Y50" s="270"/>
      <c r="Z50" s="270"/>
      <c r="AD50" s="17"/>
      <c r="AM50" s="6"/>
      <c r="AO50" s="2"/>
      <c r="BA50" s="17"/>
      <c r="BB50" s="17"/>
    </row>
    <row r="51" spans="1:54" ht="18.75" customHeight="1" x14ac:dyDescent="0.25">
      <c r="B51" s="258" t="s">
        <v>538</v>
      </c>
      <c r="C51" s="259"/>
      <c r="D51" s="259"/>
      <c r="E51" s="259"/>
      <c r="F51" s="259"/>
      <c r="G51" s="259"/>
      <c r="H51" s="260"/>
      <c r="J51" s="290" t="str">
        <f ca="1">IFERROR((J47*R25)^2*R40+(J48*R25)^2*R40+(J49*R25)^2*R40+(J50*R25)^2*R41,"")</f>
        <v/>
      </c>
      <c r="K51" s="291"/>
      <c r="L51" s="292"/>
      <c r="N51" s="290" t="str">
        <f ca="1">IFERROR((N47*W25)^2*W40+(N48*W25)^2*W40+(N49*W25)^2*W40+(N50*W25)^2*W41,"")</f>
        <v/>
      </c>
      <c r="O51" s="291"/>
      <c r="P51" s="292"/>
      <c r="Q51" s="2"/>
      <c r="R51" s="293" t="str">
        <f ca="1">IFERROR((R47*R25)^2*R40+(R48*R25)^2*R40+(R49*R25)^2*R40+(R50*R25)^2*R41,"")</f>
        <v/>
      </c>
      <c r="S51" s="293"/>
      <c r="T51" s="293"/>
      <c r="U51" s="293"/>
      <c r="V51" s="67"/>
      <c r="W51" s="293" t="str">
        <f ca="1">IFERROR(IF(ISBLANK(W47), "",(W47*W25)^2*W40+(W48*W25)^2*W40+(W49*W25)^2*W40+(W50*W25)^2*W41),"")</f>
        <v/>
      </c>
      <c r="X51" s="293"/>
      <c r="Y51" s="293"/>
      <c r="Z51" s="293"/>
      <c r="AC51" s="83"/>
      <c r="AD51" s="17"/>
      <c r="AN51" s="2"/>
      <c r="AO51" s="2"/>
      <c r="BA51" s="17"/>
      <c r="BB51" s="17"/>
    </row>
    <row r="52" spans="1:54" ht="18.75" customHeight="1" x14ac:dyDescent="0.25">
      <c r="B52" s="34"/>
      <c r="C52" s="34"/>
      <c r="D52" s="34"/>
      <c r="E52" s="34"/>
      <c r="F52" s="34"/>
      <c r="G52" s="34"/>
      <c r="H52" s="34"/>
      <c r="AD52" s="141" t="s">
        <v>463</v>
      </c>
      <c r="AE52" s="141"/>
      <c r="AF52" s="141" t="s">
        <v>463</v>
      </c>
      <c r="AG52" s="141"/>
      <c r="AH52" s="144" t="s">
        <v>464</v>
      </c>
      <c r="AI52" s="33"/>
      <c r="AJ52" s="33"/>
      <c r="AN52" s="2"/>
      <c r="AO52" s="2"/>
      <c r="AZ52" s="17"/>
      <c r="BA52" s="17"/>
      <c r="BB52" s="17"/>
    </row>
    <row r="53" spans="1:54" ht="18.75" customHeight="1" x14ac:dyDescent="0.35">
      <c r="A53" s="10"/>
      <c r="B53" s="2"/>
      <c r="C53" s="2"/>
      <c r="D53" s="2"/>
      <c r="J53" s="271" t="str">
        <f>IFERROR(IF(ABS((J47*R27+J48*R27+J49*R27)-R19)/R19&gt;0.1,"ERROR",""),"")</f>
        <v/>
      </c>
      <c r="K53" s="272"/>
      <c r="L53" s="273"/>
      <c r="N53" s="271" t="str">
        <f>IFERROR(IF(ABS((N47*R27+N48*R27+N49*R27)-R19)/R19&gt;0.1,"ERROR",""),"")</f>
        <v/>
      </c>
      <c r="O53" s="272"/>
      <c r="P53" s="273"/>
      <c r="R53" s="334" t="str">
        <f>IF($R$43="Yes",IF(OR(J53="ERROR",N53="ERROR"),"*Currents do not equal kVA value*",IF(AH53=FALSE,"*Current sums do not match*","")),"")</f>
        <v/>
      </c>
      <c r="S53" s="335"/>
      <c r="T53" s="335"/>
      <c r="U53" s="335"/>
      <c r="V53" s="335"/>
      <c r="W53" s="335"/>
      <c r="X53" s="335"/>
      <c r="Y53" s="335"/>
      <c r="Z53" s="335"/>
      <c r="AC53" s="10"/>
      <c r="AD53" s="143">
        <f>SUM(J47:L49)</f>
        <v>0</v>
      </c>
      <c r="AE53" s="143"/>
      <c r="AF53" s="143">
        <f>SUM(N47:P49)</f>
        <v>0</v>
      </c>
      <c r="AG53" s="141"/>
      <c r="AH53" s="144" t="b">
        <f>AD53=AF53</f>
        <v>1</v>
      </c>
      <c r="AI53" s="33"/>
      <c r="AJ53" s="33"/>
      <c r="AZ53" s="17"/>
      <c r="BA53" s="17"/>
    </row>
    <row r="54" spans="1:54" ht="18.75" customHeight="1" x14ac:dyDescent="0.25">
      <c r="B54" s="2"/>
      <c r="C54" s="2"/>
      <c r="D54" s="2"/>
      <c r="W54" s="59"/>
      <c r="AZ54" s="17"/>
      <c r="BA54" s="17"/>
      <c r="BB54" s="17"/>
    </row>
    <row r="55" spans="1:54" ht="18.75" customHeight="1" x14ac:dyDescent="0.25">
      <c r="B55" s="295" t="s">
        <v>441</v>
      </c>
      <c r="C55" s="295"/>
      <c r="D55" s="295"/>
      <c r="E55" s="295"/>
      <c r="F55" s="295"/>
      <c r="G55" s="295"/>
      <c r="H55" s="295"/>
      <c r="I55" s="295"/>
      <c r="J55" s="295"/>
      <c r="K55" s="295"/>
      <c r="L55" s="295"/>
      <c r="M55" s="295"/>
      <c r="N55" s="295"/>
      <c r="O55" s="295"/>
      <c r="P55" s="295"/>
      <c r="Q55" s="2"/>
      <c r="R55" s="293" t="str">
        <f ca="1">IFERROR(IF(R43="No",$R$24*8760*$R$51/1000,$R$24*8760*$J$51/1000),"")</f>
        <v/>
      </c>
      <c r="S55" s="293"/>
      <c r="T55" s="293"/>
      <c r="U55" s="293"/>
      <c r="V55" s="67"/>
      <c r="W55" s="293" t="str">
        <f ca="1">IFERROR(IF(R43="No",$W$24*8760*$W$51/1000, $W$24*8760*$N$51/1000),"")</f>
        <v/>
      </c>
      <c r="X55" s="293"/>
      <c r="Y55" s="293"/>
      <c r="Z55" s="293"/>
    </row>
    <row r="56" spans="1:54" ht="18.75" customHeight="1" thickBot="1" x14ac:dyDescent="0.3">
      <c r="B56" s="2"/>
      <c r="C56" s="2"/>
      <c r="D56" s="2"/>
      <c r="Q56" s="2"/>
      <c r="S56" s="2"/>
      <c r="V56" s="2"/>
      <c r="AZ56" s="17"/>
      <c r="BA56" s="17"/>
      <c r="BB56" s="17"/>
    </row>
    <row r="57" spans="1:54" ht="18.75" customHeight="1" thickBot="1" x14ac:dyDescent="0.3">
      <c r="B57" s="280" t="s">
        <v>485</v>
      </c>
      <c r="C57" s="281"/>
      <c r="D57" s="281"/>
      <c r="E57" s="281"/>
      <c r="F57" s="281"/>
      <c r="G57" s="281"/>
      <c r="H57" s="281"/>
      <c r="I57" s="281"/>
      <c r="J57" s="281"/>
      <c r="K57" s="281"/>
      <c r="L57" s="281"/>
      <c r="M57" s="281"/>
      <c r="N57" s="281"/>
      <c r="O57" s="281"/>
      <c r="P57" s="282"/>
      <c r="R57" s="283" t="str">
        <f ca="1">IFERROR($R$55-$W$55,"")</f>
        <v/>
      </c>
      <c r="S57" s="284"/>
      <c r="T57" s="284"/>
      <c r="U57" s="284"/>
      <c r="V57" s="284"/>
      <c r="W57" s="284"/>
      <c r="X57" s="284"/>
      <c r="Y57" s="284"/>
      <c r="Z57" s="285"/>
      <c r="AB57" s="373" t="s">
        <v>487</v>
      </c>
      <c r="AC57" s="374"/>
      <c r="AD57" s="374"/>
      <c r="AE57" s="375"/>
    </row>
    <row r="58" spans="1:54" ht="18.75" customHeight="1" thickBot="1" x14ac:dyDescent="0.3">
      <c r="B58" s="280" t="s">
        <v>486</v>
      </c>
      <c r="C58" s="281"/>
      <c r="D58" s="281"/>
      <c r="E58" s="281"/>
      <c r="F58" s="281"/>
      <c r="G58" s="281"/>
      <c r="H58" s="281"/>
      <c r="I58" s="281"/>
      <c r="J58" s="281"/>
      <c r="K58" s="281"/>
      <c r="L58" s="281"/>
      <c r="M58" s="281"/>
      <c r="N58" s="281"/>
      <c r="O58" s="281"/>
      <c r="P58" s="282"/>
      <c r="R58" s="283" t="str">
        <f ca="1">IFERROR($R$57*AB58,"")</f>
        <v/>
      </c>
      <c r="S58" s="284"/>
      <c r="T58" s="284"/>
      <c r="U58" s="284"/>
      <c r="V58" s="284"/>
      <c r="W58" s="284"/>
      <c r="X58" s="284"/>
      <c r="Y58" s="284"/>
      <c r="Z58" s="285"/>
      <c r="AB58" s="376">
        <v>1.09056</v>
      </c>
      <c r="AC58" s="377"/>
      <c r="AD58" s="377"/>
      <c r="AE58" s="378"/>
    </row>
    <row r="59" spans="1:54" ht="18.75" customHeight="1" thickBot="1" x14ac:dyDescent="0.3">
      <c r="AB59" s="2"/>
    </row>
    <row r="60" spans="1:54" ht="18.75" customHeight="1" thickBot="1" x14ac:dyDescent="0.3">
      <c r="B60" s="287" t="s">
        <v>539</v>
      </c>
      <c r="C60" s="288"/>
      <c r="D60" s="288"/>
      <c r="E60" s="288"/>
      <c r="F60" s="288"/>
      <c r="G60" s="288"/>
      <c r="H60" s="288"/>
      <c r="I60" s="288"/>
      <c r="J60" s="288"/>
      <c r="K60" s="288"/>
      <c r="L60" s="288"/>
      <c r="M60" s="288"/>
      <c r="N60" s="288"/>
      <c r="O60" s="288"/>
      <c r="P60" s="289"/>
      <c r="R60" s="252"/>
      <c r="S60" s="253"/>
      <c r="T60" s="253"/>
      <c r="U60" s="253"/>
      <c r="V60" s="253"/>
      <c r="W60" s="253"/>
      <c r="X60" s="253"/>
      <c r="Y60" s="253"/>
      <c r="Z60" s="254"/>
    </row>
    <row r="62" spans="1:54" ht="18.75" customHeight="1" x14ac:dyDescent="0.25">
      <c r="B62" s="81" t="s">
        <v>32</v>
      </c>
      <c r="C62" s="17"/>
      <c r="D62" s="17"/>
      <c r="E62" s="17"/>
      <c r="F62" s="17"/>
      <c r="G62" s="17"/>
      <c r="H62" s="17"/>
      <c r="I62" s="17"/>
      <c r="J62" s="17"/>
      <c r="K62" s="17"/>
      <c r="L62" s="5"/>
      <c r="M62" s="5"/>
      <c r="N62" s="5"/>
      <c r="O62" s="5"/>
      <c r="P62" s="5"/>
      <c r="Q62" s="5"/>
      <c r="R62" s="5"/>
      <c r="S62" s="5"/>
      <c r="T62" s="5"/>
      <c r="U62" s="5"/>
      <c r="V62" s="5"/>
    </row>
    <row r="63" spans="1:54" ht="18.75" customHeight="1" thickBot="1" x14ac:dyDescent="0.3">
      <c r="B63" s="69" t="s">
        <v>479</v>
      </c>
      <c r="C63" s="70"/>
      <c r="D63" s="70"/>
      <c r="E63" s="70"/>
      <c r="F63" s="70"/>
      <c r="G63" s="70"/>
      <c r="H63" s="70"/>
      <c r="I63" s="70"/>
      <c r="J63" s="70"/>
      <c r="K63" s="70"/>
      <c r="L63" s="70"/>
      <c r="M63" s="70"/>
      <c r="N63" s="74"/>
      <c r="O63" s="70"/>
      <c r="P63" s="70"/>
      <c r="Q63" s="70"/>
      <c r="R63" s="70"/>
      <c r="S63" s="248" t="s">
        <v>476</v>
      </c>
      <c r="T63" s="248"/>
      <c r="U63" s="248"/>
      <c r="V63" s="249"/>
    </row>
    <row r="64" spans="1:54" ht="18.75" customHeight="1" x14ac:dyDescent="0.25">
      <c r="B64" s="71" t="s">
        <v>475</v>
      </c>
      <c r="C64" s="72"/>
      <c r="D64" s="72"/>
      <c r="E64" s="72"/>
      <c r="F64" s="72"/>
      <c r="G64" s="72"/>
      <c r="H64" s="72"/>
      <c r="I64" s="72"/>
      <c r="J64" s="72"/>
      <c r="K64" s="72"/>
      <c r="L64" s="72"/>
      <c r="M64" s="72"/>
      <c r="N64" s="72"/>
      <c r="O64" s="72"/>
      <c r="P64" s="72"/>
      <c r="Q64" s="72"/>
      <c r="R64" s="72"/>
      <c r="S64" s="250"/>
      <c r="T64" s="250"/>
      <c r="U64" s="250"/>
      <c r="V64" s="251"/>
    </row>
    <row r="65" spans="1:56" ht="18.75" customHeight="1" x14ac:dyDescent="0.25">
      <c r="B65" s="71" t="s">
        <v>477</v>
      </c>
      <c r="C65" s="72"/>
      <c r="D65" s="72"/>
      <c r="E65" s="72"/>
      <c r="F65" s="72"/>
      <c r="G65" s="72"/>
      <c r="H65" s="72"/>
      <c r="I65" s="72"/>
      <c r="J65" s="72"/>
      <c r="K65" s="72"/>
      <c r="L65" s="72"/>
      <c r="M65" s="72"/>
      <c r="N65" s="72"/>
      <c r="O65" s="72"/>
      <c r="P65" s="72"/>
      <c r="Q65" s="72"/>
      <c r="R65" s="72"/>
      <c r="S65" s="250"/>
      <c r="T65" s="250"/>
      <c r="U65" s="250"/>
      <c r="V65" s="251"/>
      <c r="X65" s="17"/>
      <c r="BD65" s="32"/>
    </row>
    <row r="66" spans="1:56" ht="18.75" customHeight="1" thickBot="1" x14ac:dyDescent="0.3">
      <c r="B66" s="71" t="s">
        <v>473</v>
      </c>
      <c r="C66" s="72"/>
      <c r="D66" s="72"/>
      <c r="E66" s="72"/>
      <c r="F66" s="72"/>
      <c r="G66" s="72"/>
      <c r="H66" s="72"/>
      <c r="I66" s="72"/>
      <c r="J66" s="72"/>
      <c r="K66" s="72"/>
      <c r="L66" s="72"/>
      <c r="M66" s="72"/>
      <c r="N66" s="72"/>
      <c r="O66" s="72"/>
      <c r="P66" s="72"/>
      <c r="Q66" s="72"/>
      <c r="R66" s="72"/>
      <c r="S66" s="250"/>
      <c r="T66" s="250"/>
      <c r="U66" s="250"/>
      <c r="V66" s="251"/>
      <c r="X66" s="32"/>
    </row>
    <row r="67" spans="1:56" ht="18.75" customHeight="1" thickBot="1" x14ac:dyDescent="0.3">
      <c r="B67" s="73" t="s">
        <v>478</v>
      </c>
      <c r="C67" s="72"/>
      <c r="D67" s="72"/>
      <c r="E67" s="72"/>
      <c r="F67" s="72"/>
      <c r="G67" s="72"/>
      <c r="H67" s="72"/>
      <c r="I67" s="72"/>
      <c r="J67" s="72"/>
      <c r="K67" s="72"/>
      <c r="L67" s="72"/>
      <c r="M67" s="72"/>
      <c r="N67" s="72"/>
      <c r="O67" s="72"/>
      <c r="P67" s="72"/>
      <c r="Q67" s="72"/>
      <c r="R67" s="72"/>
      <c r="S67" s="250"/>
      <c r="T67" s="250"/>
      <c r="U67" s="250"/>
      <c r="V67" s="251"/>
      <c r="X67" s="63"/>
      <c r="AC67" s="63"/>
      <c r="AH67" s="63"/>
      <c r="AM67" s="63"/>
    </row>
    <row r="68" spans="1:56" ht="18.75" customHeight="1" x14ac:dyDescent="0.25">
      <c r="B68" s="71" t="s">
        <v>474</v>
      </c>
      <c r="C68" s="72"/>
      <c r="D68" s="72"/>
      <c r="E68" s="72"/>
      <c r="F68" s="72"/>
      <c r="G68" s="72"/>
      <c r="H68" s="72"/>
      <c r="I68" s="72"/>
      <c r="J68" s="72"/>
      <c r="K68" s="72"/>
      <c r="L68" s="72"/>
      <c r="M68" s="72"/>
      <c r="N68" s="72"/>
      <c r="O68" s="72"/>
      <c r="P68" s="72"/>
      <c r="Q68" s="72"/>
      <c r="R68" s="72"/>
      <c r="S68" s="250"/>
      <c r="T68" s="250"/>
      <c r="U68" s="250"/>
      <c r="V68" s="251"/>
    </row>
    <row r="69" spans="1:56" ht="18.75" customHeight="1" x14ac:dyDescent="0.25">
      <c r="B69" s="71" t="s">
        <v>488</v>
      </c>
      <c r="C69" s="72"/>
      <c r="D69" s="72"/>
      <c r="E69" s="72"/>
      <c r="F69" s="72"/>
      <c r="G69" s="72"/>
      <c r="H69" s="72"/>
      <c r="I69" s="72"/>
      <c r="J69" s="72"/>
      <c r="K69" s="72"/>
      <c r="L69" s="72"/>
      <c r="M69" s="72"/>
      <c r="N69" s="72"/>
      <c r="O69" s="72"/>
      <c r="P69" s="72"/>
      <c r="Q69" s="72"/>
      <c r="R69" s="72"/>
      <c r="S69" s="250"/>
      <c r="T69" s="250"/>
      <c r="U69" s="250"/>
      <c r="V69" s="251"/>
    </row>
    <row r="70" spans="1:56" ht="18.75" customHeight="1" x14ac:dyDescent="0.25">
      <c r="B70" s="73" t="s">
        <v>489</v>
      </c>
      <c r="C70" s="72"/>
      <c r="D70" s="72"/>
      <c r="E70" s="72"/>
      <c r="F70" s="72"/>
      <c r="G70" s="72"/>
      <c r="H70" s="72"/>
      <c r="I70" s="72"/>
      <c r="J70" s="72"/>
      <c r="K70" s="72"/>
      <c r="L70" s="72"/>
      <c r="M70" s="72"/>
      <c r="N70" s="72"/>
      <c r="O70" s="72"/>
      <c r="P70" s="72"/>
      <c r="Q70" s="72"/>
      <c r="R70" s="72"/>
      <c r="S70" s="250"/>
      <c r="T70" s="250"/>
      <c r="U70" s="250"/>
      <c r="V70" s="251"/>
    </row>
    <row r="71" spans="1:56" ht="18.75" customHeight="1" x14ac:dyDescent="0.25">
      <c r="B71" s="75" t="s">
        <v>490</v>
      </c>
      <c r="C71" s="62"/>
      <c r="D71" s="62"/>
      <c r="E71" s="62"/>
      <c r="F71" s="62"/>
      <c r="G71" s="62"/>
      <c r="H71" s="62"/>
      <c r="I71" s="62"/>
      <c r="J71" s="62"/>
      <c r="K71" s="62"/>
      <c r="L71" s="62"/>
      <c r="M71" s="62"/>
      <c r="N71" s="62"/>
      <c r="O71" s="62"/>
      <c r="P71" s="62"/>
      <c r="Q71" s="62"/>
      <c r="R71" s="62"/>
      <c r="S71" s="62"/>
      <c r="T71" s="62"/>
      <c r="U71" s="62"/>
      <c r="V71" s="76"/>
    </row>
    <row r="72" spans="1:56" ht="18.75" customHeight="1" thickBot="1" x14ac:dyDescent="0.3">
      <c r="B72" s="146" t="s">
        <v>689</v>
      </c>
      <c r="W72" s="32"/>
      <c r="X72" s="32"/>
      <c r="Y72" s="32"/>
      <c r="Z72" s="32"/>
      <c r="AA72" s="32"/>
      <c r="AB72" s="32"/>
      <c r="AC72" s="32"/>
      <c r="AD72" s="32"/>
      <c r="AE72" s="32"/>
      <c r="AF72" s="32"/>
      <c r="AG72" s="32"/>
      <c r="AH72" s="32"/>
      <c r="AI72" s="32"/>
      <c r="AJ72" s="32"/>
      <c r="AK72" s="32"/>
      <c r="AL72" s="32"/>
    </row>
    <row r="73" spans="1:56" ht="18.75" customHeight="1" thickBot="1" x14ac:dyDescent="0.3">
      <c r="B73" s="280" t="s">
        <v>410</v>
      </c>
      <c r="C73" s="281"/>
      <c r="D73" s="281"/>
      <c r="E73" s="281"/>
      <c r="F73" s="281"/>
      <c r="G73" s="281"/>
      <c r="H73" s="281"/>
      <c r="I73" s="281"/>
      <c r="J73" s="281"/>
      <c r="K73" s="281"/>
      <c r="L73" s="281"/>
      <c r="M73" s="281"/>
      <c r="N73" s="281"/>
      <c r="O73" s="281"/>
      <c r="P73" s="282"/>
      <c r="R73" s="277" t="str">
        <f ca="1">IFERROR(IF(R58*J10&lt;(0.7*$R$60),R58*J10,0.7*$R$60),"")</f>
        <v/>
      </c>
      <c r="S73" s="278"/>
      <c r="T73" s="278"/>
      <c r="U73" s="278"/>
      <c r="V73" s="278"/>
      <c r="W73" s="278"/>
      <c r="X73" s="278"/>
      <c r="Y73" s="278"/>
      <c r="Z73" s="279"/>
      <c r="AA73" s="32"/>
      <c r="AB73" s="32"/>
      <c r="AC73" s="32"/>
      <c r="AD73" s="32"/>
      <c r="AE73" s="32"/>
      <c r="AF73" s="32"/>
      <c r="AG73" s="32"/>
      <c r="AH73" s="32"/>
      <c r="AI73" s="32"/>
      <c r="AJ73" s="32"/>
      <c r="AK73" s="32"/>
      <c r="AL73" s="32"/>
    </row>
    <row r="74" spans="1:56" ht="18.75" customHeight="1" thickBot="1" x14ac:dyDescent="0.3">
      <c r="B74" s="280" t="s">
        <v>411</v>
      </c>
      <c r="C74" s="281"/>
      <c r="D74" s="281"/>
      <c r="E74" s="281"/>
      <c r="F74" s="281"/>
      <c r="G74" s="281"/>
      <c r="H74" s="281"/>
      <c r="I74" s="281"/>
      <c r="J74" s="281"/>
      <c r="K74" s="281"/>
      <c r="L74" s="281"/>
      <c r="M74" s="281"/>
      <c r="N74" s="281"/>
      <c r="O74" s="281"/>
      <c r="P74" s="282"/>
      <c r="R74" s="277" t="str">
        <f ca="1">IFERROR(R73*Summary!$M$18,"")</f>
        <v/>
      </c>
      <c r="S74" s="278"/>
      <c r="T74" s="278"/>
      <c r="U74" s="278"/>
      <c r="V74" s="278"/>
      <c r="W74" s="278"/>
      <c r="X74" s="278"/>
      <c r="Y74" s="278"/>
      <c r="Z74" s="279"/>
      <c r="AO74" s="17"/>
    </row>
    <row r="75" spans="1:56" ht="18.75" customHeight="1" thickBot="1" x14ac:dyDescent="0.3">
      <c r="B75" s="280" t="s">
        <v>412</v>
      </c>
      <c r="C75" s="281"/>
      <c r="D75" s="281"/>
      <c r="E75" s="281"/>
      <c r="F75" s="281"/>
      <c r="G75" s="281"/>
      <c r="H75" s="281"/>
      <c r="I75" s="281"/>
      <c r="J75" s="281"/>
      <c r="K75" s="281"/>
      <c r="L75" s="281"/>
      <c r="M75" s="281"/>
      <c r="N75" s="281"/>
      <c r="O75" s="281"/>
      <c r="P75" s="282"/>
      <c r="R75" s="277" t="str">
        <f ca="1">IFERROR(R73*Summary!$M$19,"")</f>
        <v/>
      </c>
      <c r="S75" s="278"/>
      <c r="T75" s="278"/>
      <c r="U75" s="278"/>
      <c r="V75" s="278"/>
      <c r="W75" s="278"/>
      <c r="X75" s="278"/>
      <c r="Y75" s="278"/>
      <c r="Z75" s="279"/>
      <c r="AO75" s="17"/>
    </row>
    <row r="76" spans="1:56" ht="18.75" customHeight="1" x14ac:dyDescent="0.25">
      <c r="AQ76" s="17"/>
    </row>
    <row r="77" spans="1:56" ht="18.75" customHeight="1" x14ac:dyDescent="0.25">
      <c r="A77" s="68" t="s">
        <v>484</v>
      </c>
    </row>
  </sheetData>
  <sheetProtection password="BD7D" sheet="1" scenarios="1"/>
  <mergeCells count="135">
    <mergeCell ref="AB19:AK21"/>
    <mergeCell ref="AB23:AK27"/>
    <mergeCell ref="AB43:AK46"/>
    <mergeCell ref="B6:G6"/>
    <mergeCell ref="B7:G7"/>
    <mergeCell ref="B8:G8"/>
    <mergeCell ref="R14:U15"/>
    <mergeCell ref="W14:Z15"/>
    <mergeCell ref="B15:P15"/>
    <mergeCell ref="B17:P17"/>
    <mergeCell ref="R17:U17"/>
    <mergeCell ref="W17:Z17"/>
    <mergeCell ref="B16:P16"/>
    <mergeCell ref="R16:U16"/>
    <mergeCell ref="W16:Z16"/>
    <mergeCell ref="B20:P20"/>
    <mergeCell ref="R20:U20"/>
    <mergeCell ref="W20:Z20"/>
    <mergeCell ref="B21:P21"/>
    <mergeCell ref="R21:U21"/>
    <mergeCell ref="W21:Z21"/>
    <mergeCell ref="B18:P18"/>
    <mergeCell ref="R18:U18"/>
    <mergeCell ref="W18:Z18"/>
    <mergeCell ref="AB2:AH2"/>
    <mergeCell ref="AB3:AH3"/>
    <mergeCell ref="AB4:AH4"/>
    <mergeCell ref="B4:G4"/>
    <mergeCell ref="B5:G5"/>
    <mergeCell ref="B12:U12"/>
    <mergeCell ref="W12:Z12"/>
    <mergeCell ref="B10:I10"/>
    <mergeCell ref="H4:Z4"/>
    <mergeCell ref="H5:Z5"/>
    <mergeCell ref="H6:Z6"/>
    <mergeCell ref="H7:Z7"/>
    <mergeCell ref="H8:Z8"/>
    <mergeCell ref="J10:Z10"/>
    <mergeCell ref="B19:P19"/>
    <mergeCell ref="R19:U19"/>
    <mergeCell ref="W19:Z19"/>
    <mergeCell ref="B25:P25"/>
    <mergeCell ref="R25:U25"/>
    <mergeCell ref="W25:Z25"/>
    <mergeCell ref="B23:P23"/>
    <mergeCell ref="R23:U23"/>
    <mergeCell ref="W23:Z23"/>
    <mergeCell ref="B24:P24"/>
    <mergeCell ref="R24:U24"/>
    <mergeCell ref="W24:Z24"/>
    <mergeCell ref="B30:P30"/>
    <mergeCell ref="R30:U30"/>
    <mergeCell ref="W30:Z30"/>
    <mergeCell ref="B31:P31"/>
    <mergeCell ref="R31:U31"/>
    <mergeCell ref="B32:P32"/>
    <mergeCell ref="R32:U32"/>
    <mergeCell ref="W32:Z32"/>
    <mergeCell ref="B27:P27"/>
    <mergeCell ref="R27:U27"/>
    <mergeCell ref="W27:Z27"/>
    <mergeCell ref="B29:P29"/>
    <mergeCell ref="R29:U29"/>
    <mergeCell ref="W29:Z29"/>
    <mergeCell ref="B36:P36"/>
    <mergeCell ref="R36:U36"/>
    <mergeCell ref="W36:Z36"/>
    <mergeCell ref="B37:P37"/>
    <mergeCell ref="R37:U37"/>
    <mergeCell ref="W37:Z37"/>
    <mergeCell ref="B33:P33"/>
    <mergeCell ref="R33:U33"/>
    <mergeCell ref="W33:Z33"/>
    <mergeCell ref="B34:P34"/>
    <mergeCell ref="R34:U34"/>
    <mergeCell ref="W34:Z34"/>
    <mergeCell ref="B41:P41"/>
    <mergeCell ref="R41:U41"/>
    <mergeCell ref="W41:Z41"/>
    <mergeCell ref="B43:L43"/>
    <mergeCell ref="R43:U43"/>
    <mergeCell ref="J45:L46"/>
    <mergeCell ref="N45:P46"/>
    <mergeCell ref="B38:P38"/>
    <mergeCell ref="R38:U38"/>
    <mergeCell ref="W38:Z38"/>
    <mergeCell ref="B40:P40"/>
    <mergeCell ref="R40:U40"/>
    <mergeCell ref="W40:Z40"/>
    <mergeCell ref="B48:H48"/>
    <mergeCell ref="J48:L48"/>
    <mergeCell ref="N48:P48"/>
    <mergeCell ref="R48:U48"/>
    <mergeCell ref="W48:Z48"/>
    <mergeCell ref="B47:H47"/>
    <mergeCell ref="J47:L47"/>
    <mergeCell ref="N47:P47"/>
    <mergeCell ref="R47:U47"/>
    <mergeCell ref="W47:Z47"/>
    <mergeCell ref="B49:H49"/>
    <mergeCell ref="J49:L49"/>
    <mergeCell ref="N49:P49"/>
    <mergeCell ref="R49:U49"/>
    <mergeCell ref="W49:Z49"/>
    <mergeCell ref="B50:H50"/>
    <mergeCell ref="J50:L50"/>
    <mergeCell ref="N50:P50"/>
    <mergeCell ref="R50:U50"/>
    <mergeCell ref="W50:Z50"/>
    <mergeCell ref="B55:P55"/>
    <mergeCell ref="R55:U55"/>
    <mergeCell ref="W55:Z55"/>
    <mergeCell ref="B57:P57"/>
    <mergeCell ref="R57:Z57"/>
    <mergeCell ref="AB57:AE57"/>
    <mergeCell ref="B51:H51"/>
    <mergeCell ref="J51:L51"/>
    <mergeCell ref="N51:P51"/>
    <mergeCell ref="R51:U51"/>
    <mergeCell ref="W51:Z51"/>
    <mergeCell ref="J53:L53"/>
    <mergeCell ref="N53:P53"/>
    <mergeCell ref="R53:Z53"/>
    <mergeCell ref="B75:P75"/>
    <mergeCell ref="R75:Z75"/>
    <mergeCell ref="S63:V70"/>
    <mergeCell ref="B58:P58"/>
    <mergeCell ref="R58:Z58"/>
    <mergeCell ref="AB58:AE58"/>
    <mergeCell ref="B73:P73"/>
    <mergeCell ref="R73:Z73"/>
    <mergeCell ref="B74:P74"/>
    <mergeCell ref="R74:Z74"/>
    <mergeCell ref="R60:Z60"/>
    <mergeCell ref="B60:P60"/>
  </mergeCells>
  <conditionalFormatting sqref="W12:Z12 R60 H5:H8">
    <cfRule type="expression" dxfId="220" priority="62">
      <formula>IF(OR(H5="--Select--",ISBLANK(H5)),TRUE,FALSE)</formula>
    </cfRule>
  </conditionalFormatting>
  <conditionalFormatting sqref="R20:U20 R18:U18">
    <cfRule type="expression" dxfId="219" priority="61">
      <formula>IF(OR(R18="--Select--",ISBLANK(R18)),TRUE,FALSE)</formula>
    </cfRule>
  </conditionalFormatting>
  <conditionalFormatting sqref="R27:U27">
    <cfRule type="expression" dxfId="218" priority="60">
      <formula>IF(OR(R27="--Select--",ISBLANK(R27)),TRUE,FALSE)</formula>
    </cfRule>
  </conditionalFormatting>
  <conditionalFormatting sqref="R29:U30">
    <cfRule type="expression" dxfId="217" priority="59">
      <formula>IF(OR(R29="--Select--",ISBLANK(R29)),TRUE,FALSE)</formula>
    </cfRule>
  </conditionalFormatting>
  <conditionalFormatting sqref="R32:U32">
    <cfRule type="expression" dxfId="216" priority="58">
      <formula>IF(OR(R32="--Select--",ISBLANK(R32)),TRUE,FALSE)</formula>
    </cfRule>
  </conditionalFormatting>
  <conditionalFormatting sqref="R36:U36">
    <cfRule type="expression" dxfId="215" priority="57">
      <formula>IF(OR(R36="--Select--",ISBLANK(R36)),TRUE,FALSE)</formula>
    </cfRule>
  </conditionalFormatting>
  <conditionalFormatting sqref="R37:U37">
    <cfRule type="expression" dxfId="214" priority="55">
      <formula>IF(R36="--Select--",TRUE,FALSE)</formula>
    </cfRule>
    <cfRule type="expression" dxfId="213" priority="56">
      <formula>IF(OR(R37="--Select--",ISBLANK(R36)),TRUE,FALSE)</formula>
    </cfRule>
  </conditionalFormatting>
  <conditionalFormatting sqref="W27:Z27">
    <cfRule type="expression" dxfId="212" priority="54">
      <formula>IF(OR(W27="--Select--",ISBLANK(W27)),TRUE,FALSE)</formula>
    </cfRule>
  </conditionalFormatting>
  <conditionalFormatting sqref="W29:Z30">
    <cfRule type="expression" dxfId="211" priority="53">
      <formula>IF(OR(W29="--Select--",ISBLANK(W29)),TRUE,FALSE)</formula>
    </cfRule>
  </conditionalFormatting>
  <conditionalFormatting sqref="W32:Z32">
    <cfRule type="expression" dxfId="210" priority="52">
      <formula>IF(OR(W32="--Select--",ISBLANK(W32)),TRUE,FALSE)</formula>
    </cfRule>
  </conditionalFormatting>
  <conditionalFormatting sqref="W36:Z36">
    <cfRule type="expression" dxfId="209" priority="51">
      <formula>IF(OR(W36="--Select--",ISBLANK(W36)),TRUE,FALSE)</formula>
    </cfRule>
  </conditionalFormatting>
  <conditionalFormatting sqref="W33:Z33">
    <cfRule type="expression" dxfId="208" priority="49">
      <formula>IF(W32="--Select--",TRUE,FALSE)</formula>
    </cfRule>
    <cfRule type="expression" dxfId="207" priority="50">
      <formula>IF(OR(W33="--Select--",ISBLANK(W32)),TRUE,FALSE)</formula>
    </cfRule>
  </conditionalFormatting>
  <conditionalFormatting sqref="W37:Z37">
    <cfRule type="expression" dxfId="206" priority="47">
      <formula>IF(W36="--Select--",TRUE,FALSE)</formula>
    </cfRule>
    <cfRule type="expression" dxfId="205" priority="48">
      <formula>IF(OR(W37="--Select--",ISBLANK(W36)),TRUE,FALSE)</formula>
    </cfRule>
  </conditionalFormatting>
  <conditionalFormatting sqref="H4">
    <cfRule type="expression" dxfId="204" priority="46">
      <formula>IF(OR(H4="--Select--",ISBLANK(H4)),TRUE,FALSE)</formula>
    </cfRule>
  </conditionalFormatting>
  <conditionalFormatting sqref="J47">
    <cfRule type="expression" dxfId="203" priority="738">
      <formula>IF(ISBLANK(J47),TRUE,FALSE)</formula>
    </cfRule>
  </conditionalFormatting>
  <conditionalFormatting sqref="J48">
    <cfRule type="expression" dxfId="202" priority="63">
      <formula>IF(ISBLANK(J48),TRUE,FALSE)</formula>
    </cfRule>
  </conditionalFormatting>
  <conditionalFormatting sqref="J49">
    <cfRule type="expression" dxfId="201" priority="45">
      <formula>IF(ISBLANK(J49),TRUE,FALSE)</formula>
    </cfRule>
  </conditionalFormatting>
  <conditionalFormatting sqref="J50">
    <cfRule type="expression" dxfId="200" priority="44">
      <formula>IF(ISBLANK(J50),TRUE,FALSE)</formula>
    </cfRule>
  </conditionalFormatting>
  <conditionalFormatting sqref="N47:N50">
    <cfRule type="expression" dxfId="199" priority="42">
      <formula>IF(ISBLANK(N47),TRUE,FALSE)</formula>
    </cfRule>
  </conditionalFormatting>
  <conditionalFormatting sqref="N48:N50">
    <cfRule type="expression" dxfId="198" priority="41">
      <formula>IF(ISBLANK(N48),TRUE,FALSE)</formula>
    </cfRule>
  </conditionalFormatting>
  <conditionalFormatting sqref="N49">
    <cfRule type="expression" dxfId="197" priority="40">
      <formula>IF(ISBLANK(N49),TRUE,FALSE)</formula>
    </cfRule>
  </conditionalFormatting>
  <conditionalFormatting sqref="N50">
    <cfRule type="expression" dxfId="196" priority="39">
      <formula>IF(ISBLANK(N50),TRUE,FALSE)</formula>
    </cfRule>
  </conditionalFormatting>
  <conditionalFormatting sqref="J10">
    <cfRule type="expression" dxfId="195" priority="37">
      <formula>IF(OR(J10="--Select--",ISBLANK(J10)),TRUE,FALSE)</formula>
    </cfRule>
  </conditionalFormatting>
  <conditionalFormatting sqref="R33:U33">
    <cfRule type="expression" dxfId="194" priority="35">
      <formula>IF(R32="--Select--",TRUE,FALSE)</formula>
    </cfRule>
    <cfRule type="expression" dxfId="193" priority="36">
      <formula>IF(OR(R33="--Select--",ISBLANK(R32)),TRUE,FALSE)</formula>
    </cfRule>
  </conditionalFormatting>
  <conditionalFormatting sqref="R23:U23">
    <cfRule type="expression" dxfId="192" priority="32">
      <formula>IF(OR(R23="--Select--",ISBLANK(R23)),TRUE,FALSE)</formula>
    </cfRule>
  </conditionalFormatting>
  <conditionalFormatting sqref="J45:L51 N45:P51">
    <cfRule type="expression" dxfId="191" priority="38" stopIfTrue="1">
      <formula>IF($R$43="No",TRUE,FALSE)</formula>
    </cfRule>
  </conditionalFormatting>
  <conditionalFormatting sqref="J51 N51">
    <cfRule type="expression" dxfId="190" priority="882">
      <formula>IF($R$43="No",TRUE,FALSE)</formula>
    </cfRule>
  </conditionalFormatting>
  <conditionalFormatting sqref="R43:U43">
    <cfRule type="expression" dxfId="189" priority="31">
      <formula>IF(OR(R43="--Select--",ISBLANK(R43)),TRUE,FALSE)</formula>
    </cfRule>
  </conditionalFormatting>
  <conditionalFormatting sqref="R19:U19">
    <cfRule type="expression" dxfId="188" priority="30">
      <formula>IF(OR(R19="--Select--",ISBLANK(R19)),TRUE,FALSE)</formula>
    </cfRule>
  </conditionalFormatting>
  <conditionalFormatting sqref="R17:U17">
    <cfRule type="expression" dxfId="187" priority="28">
      <formula>IF(OR(R17="--Select--",ISBLANK(R17)),TRUE,FALSE)</formula>
    </cfRule>
  </conditionalFormatting>
  <conditionalFormatting sqref="W16:Z16">
    <cfRule type="expression" dxfId="186" priority="27">
      <formula>IF(OR(W16="--Select--",ISBLANK(W16)),TRUE,FALSE)</formula>
    </cfRule>
  </conditionalFormatting>
  <conditionalFormatting sqref="J53:L53">
    <cfRule type="expression" dxfId="185" priority="26" stopIfTrue="1">
      <formula>IF($R$43="No",TRUE,FALSE)</formula>
    </cfRule>
  </conditionalFormatting>
  <conditionalFormatting sqref="N53:P53">
    <cfRule type="expression" dxfId="184" priority="17" stopIfTrue="1">
      <formula>IF($R$43="No",TRUE,FALSE)</formula>
    </cfRule>
  </conditionalFormatting>
  <conditionalFormatting sqref="R53:Z53">
    <cfRule type="expression" dxfId="183" priority="16" stopIfTrue="1">
      <formula>IF($R$43="No",TRUE,FALSE)</formula>
    </cfRule>
  </conditionalFormatting>
  <dataValidations count="4">
    <dataValidation type="list" allowBlank="1" showInputMessage="1" showErrorMessage="1" sqref="W37:Z37">
      <formula1>INDIRECT($W$36)</formula1>
    </dataValidation>
    <dataValidation type="list" allowBlank="1" showInputMessage="1" showErrorMessage="1" sqref="R37:U37">
      <formula1>INDIRECT($R$36)</formula1>
    </dataValidation>
    <dataValidation type="list" allowBlank="1" showInputMessage="1" showErrorMessage="1" sqref="W33:Z33">
      <formula1>INDIRECT($W$32)</formula1>
    </dataValidation>
    <dataValidation type="list" allowBlank="1" showInputMessage="1" showErrorMessage="1" sqref="R33:U33">
      <formula1>INDIRECT($R$32)</formula1>
    </dataValidation>
  </dataValidations>
  <pageMargins left="0.25" right="0.25" top="0.75" bottom="0.75" header="0.3" footer="0.3"/>
  <pageSetup orientation="portrait" r:id="rId1"/>
  <ignoredErrors>
    <ignoredError sqref="N47:P50" unlockedFormula="1"/>
  </ignoredErrors>
  <extLst>
    <ext xmlns:x14="http://schemas.microsoft.com/office/spreadsheetml/2009/9/main" uri="{78C0D931-6437-407d-A8EE-F0AAD7539E65}">
      <x14:conditionalFormattings>
        <x14:conditionalFormatting xmlns:xm="http://schemas.microsoft.com/office/excel/2006/main">
          <x14:cfRule type="expression" priority="1" id="{9A0C3E1F-A3AA-4F34-BCE3-19E61193CF97}">
            <xm:f>OR(Summary!$P$21="--Select--",Summary!$P$21&lt;4,Summary!$P$12="--Select--",Summary!$P$12="Transformer Only")</xm:f>
            <x14:dxf>
              <fill>
                <patternFill patternType="solid">
                  <bgColor theme="1"/>
                </patternFill>
              </fill>
            </x14:dxf>
          </x14:cfRule>
          <xm:sqref>A1:XFD1048576</xm:sqref>
        </x14:conditionalFormatting>
      </x14:conditionalFormattings>
    </ext>
    <ext xmlns:x14="http://schemas.microsoft.com/office/spreadsheetml/2009/9/main" uri="{CCE6A557-97BC-4b89-ADB6-D9C93CAAB3DF}">
      <x14:dataValidations xmlns:xm="http://schemas.microsoft.com/office/excel/2006/main" count="5">
        <x14:dataValidation type="list" allowBlank="1" showInputMessage="1" showErrorMessage="1">
          <x14:formula1>
            <xm:f>Lists!$K$3:$K$4</xm:f>
          </x14:formula1>
          <xm:sqref>R43:R44</xm:sqref>
        </x14:dataValidation>
        <x14:dataValidation type="list" allowBlank="1" showInputMessage="1" showErrorMessage="1">
          <x14:formula1>
            <xm:f>Lists!$G$2:$G$5</xm:f>
          </x14:formula1>
          <xm:sqref>R29 W29:Z29</xm:sqref>
        </x14:dataValidation>
        <x14:dataValidation type="list" allowBlank="1" showInputMessage="1" showErrorMessage="1">
          <x14:formula1>
            <xm:f>Lists!$H$2:$H$4</xm:f>
          </x14:formula1>
          <xm:sqref>R30 W30:Z30</xm:sqref>
        </x14:dataValidation>
        <x14:dataValidation type="list" allowBlank="1" showInputMessage="1" showErrorMessage="1">
          <x14:formula1>
            <xm:f>Lists!$I$2:$I$5</xm:f>
          </x14:formula1>
          <xm:sqref>R32:U32 W32:Z32 R36:U36 W36:Z36</xm:sqref>
        </x14:dataValidation>
        <x14:dataValidation type="list" allowBlank="1" showInputMessage="1" showErrorMessage="1">
          <x14:formula1>
            <xm:f>Lists!$K$2:$K$4</xm:f>
          </x14:formula1>
          <xm:sqref>W12</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Z77"/>
  <sheetViews>
    <sheetView showGridLines="0" zoomScaleNormal="100" workbookViewId="0">
      <selection activeCell="H4" sqref="H4:Z4"/>
    </sheetView>
  </sheetViews>
  <sheetFormatPr defaultColWidth="3.5703125" defaultRowHeight="18.75" customHeight="1" x14ac:dyDescent="0.25"/>
  <cols>
    <col min="17" max="18" width="3.5703125" customWidth="1"/>
    <col min="23" max="23" width="3.5703125" customWidth="1"/>
    <col min="30" max="30" width="3.5703125" customWidth="1"/>
    <col min="32" max="32" width="3.5703125" customWidth="1"/>
    <col min="34" max="34" width="3.5703125" customWidth="1"/>
    <col min="38" max="39" width="3.5703125" customWidth="1"/>
    <col min="55" max="55" width="4" bestFit="1" customWidth="1"/>
    <col min="57" max="57" width="4" bestFit="1" customWidth="1"/>
    <col min="60" max="60" width="3.5703125" customWidth="1"/>
  </cols>
  <sheetData>
    <row r="1" spans="1:78" ht="18.75" customHeight="1" x14ac:dyDescent="0.3">
      <c r="A1" s="95"/>
      <c r="B1" s="94" t="s">
        <v>543</v>
      </c>
      <c r="C1" s="95"/>
      <c r="D1" s="95"/>
      <c r="E1" s="95"/>
      <c r="F1" s="95"/>
      <c r="G1" s="95"/>
      <c r="H1" s="95"/>
      <c r="I1" s="95"/>
      <c r="J1" s="95"/>
      <c r="K1" s="95"/>
      <c r="L1" s="95"/>
      <c r="M1" s="95"/>
      <c r="N1" s="95"/>
      <c r="O1" s="95"/>
      <c r="P1" s="95"/>
      <c r="Q1" s="95"/>
      <c r="R1" s="95"/>
      <c r="S1" s="95"/>
      <c r="T1" s="95"/>
      <c r="U1" s="95"/>
      <c r="V1" s="95"/>
      <c r="W1" s="95"/>
      <c r="X1" s="95"/>
      <c r="Y1" s="95"/>
      <c r="Z1" s="95"/>
      <c r="AA1" s="95"/>
      <c r="AB1" s="95"/>
      <c r="AC1" s="95"/>
      <c r="AD1" s="95"/>
      <c r="AE1" s="95"/>
      <c r="AF1" s="95"/>
      <c r="AG1" s="95"/>
      <c r="AH1" s="95"/>
      <c r="AI1" s="95"/>
      <c r="AJ1" s="95"/>
      <c r="AK1" s="95"/>
      <c r="AL1" s="95"/>
      <c r="AM1" s="95"/>
      <c r="AN1" s="95"/>
      <c r="AO1" s="95"/>
      <c r="AP1" s="95"/>
      <c r="AQ1" s="95"/>
      <c r="AR1" s="95"/>
      <c r="AS1" s="95"/>
      <c r="AT1" s="95"/>
      <c r="AU1" s="95"/>
      <c r="AV1" s="95"/>
      <c r="AW1" s="95"/>
      <c r="AX1" s="95"/>
      <c r="AY1" s="95"/>
      <c r="AZ1" s="95"/>
      <c r="BA1" s="95"/>
      <c r="BB1" s="95"/>
      <c r="BC1" s="95"/>
      <c r="BD1" s="95"/>
      <c r="BE1" s="95"/>
      <c r="BF1" s="95"/>
      <c r="BG1" s="95"/>
      <c r="BH1" s="95"/>
      <c r="BI1" s="95"/>
      <c r="BJ1" s="95"/>
      <c r="BK1" s="95"/>
      <c r="BL1" s="95"/>
      <c r="BM1" s="95"/>
      <c r="BN1" s="95"/>
      <c r="BO1" s="95"/>
      <c r="BP1" s="95"/>
      <c r="BQ1" s="95"/>
      <c r="BR1" s="95"/>
      <c r="BS1" s="95"/>
      <c r="BT1" s="95"/>
      <c r="BU1" s="95"/>
      <c r="BV1" s="95"/>
      <c r="BW1" s="95"/>
      <c r="BX1" s="95"/>
      <c r="BY1" s="95"/>
      <c r="BZ1" s="95"/>
    </row>
    <row r="2" spans="1:78" ht="18.75" customHeight="1" x14ac:dyDescent="0.25">
      <c r="AB2" s="302" t="s">
        <v>391</v>
      </c>
      <c r="AC2" s="302"/>
      <c r="AD2" s="302"/>
      <c r="AE2" s="302"/>
      <c r="AF2" s="302"/>
      <c r="AG2" s="302"/>
      <c r="AH2" s="302"/>
    </row>
    <row r="3" spans="1:78" ht="18.75" customHeight="1" x14ac:dyDescent="0.25">
      <c r="B3" s="5"/>
      <c r="AB3" s="380" t="s">
        <v>392</v>
      </c>
      <c r="AC3" s="380"/>
      <c r="AD3" s="380"/>
      <c r="AE3" s="380"/>
      <c r="AF3" s="380"/>
      <c r="AG3" s="380"/>
      <c r="AH3" s="380"/>
      <c r="AL3" s="17"/>
    </row>
    <row r="4" spans="1:78" ht="18.75" customHeight="1" x14ac:dyDescent="0.25">
      <c r="B4" s="318" t="s">
        <v>455</v>
      </c>
      <c r="C4" s="319"/>
      <c r="D4" s="319"/>
      <c r="E4" s="319"/>
      <c r="F4" s="319"/>
      <c r="G4" s="320"/>
      <c r="H4" s="172"/>
      <c r="I4" s="172"/>
      <c r="J4" s="172"/>
      <c r="K4" s="172"/>
      <c r="L4" s="172"/>
      <c r="M4" s="172"/>
      <c r="N4" s="172"/>
      <c r="O4" s="172"/>
      <c r="P4" s="172"/>
      <c r="Q4" s="172"/>
      <c r="R4" s="172"/>
      <c r="S4" s="172"/>
      <c r="T4" s="172"/>
      <c r="U4" s="172"/>
      <c r="V4" s="172"/>
      <c r="W4" s="172"/>
      <c r="X4" s="172"/>
      <c r="Y4" s="172"/>
      <c r="Z4" s="172"/>
      <c r="AB4" s="381" t="s">
        <v>393</v>
      </c>
      <c r="AC4" s="381"/>
      <c r="AD4" s="381"/>
      <c r="AE4" s="381"/>
      <c r="AF4" s="381"/>
      <c r="AG4" s="381"/>
      <c r="AH4" s="381"/>
      <c r="AL4" s="17"/>
      <c r="AM4" s="17"/>
      <c r="AN4" s="17"/>
      <c r="AO4" s="17"/>
      <c r="AP4" s="17"/>
      <c r="AQ4" s="17"/>
      <c r="AR4" s="17"/>
      <c r="AS4" s="17"/>
      <c r="AT4" s="17"/>
      <c r="AU4" s="17"/>
      <c r="AV4" s="17"/>
      <c r="AW4" s="17"/>
      <c r="AX4" s="17"/>
      <c r="AY4" s="17"/>
      <c r="AZ4" s="17"/>
      <c r="BA4" s="17"/>
      <c r="BB4" s="17"/>
      <c r="BC4" s="17"/>
      <c r="BD4" s="17"/>
      <c r="BE4" s="17"/>
    </row>
    <row r="5" spans="1:78" ht="18.75" customHeight="1" x14ac:dyDescent="0.25">
      <c r="B5" s="318" t="s">
        <v>67</v>
      </c>
      <c r="C5" s="319"/>
      <c r="D5" s="319"/>
      <c r="E5" s="319"/>
      <c r="F5" s="319"/>
      <c r="G5" s="320"/>
      <c r="H5" s="175"/>
      <c r="I5" s="175"/>
      <c r="J5" s="175"/>
      <c r="K5" s="175"/>
      <c r="L5" s="175"/>
      <c r="M5" s="175"/>
      <c r="N5" s="175"/>
      <c r="O5" s="175"/>
      <c r="P5" s="175"/>
      <c r="Q5" s="175"/>
      <c r="R5" s="175"/>
      <c r="S5" s="175"/>
      <c r="T5" s="175"/>
      <c r="U5" s="175"/>
      <c r="V5" s="175"/>
      <c r="W5" s="175"/>
      <c r="X5" s="175"/>
      <c r="Y5" s="175"/>
      <c r="Z5" s="175"/>
    </row>
    <row r="6" spans="1:78" ht="18.75" customHeight="1" x14ac:dyDescent="0.25">
      <c r="B6" s="318" t="s">
        <v>468</v>
      </c>
      <c r="C6" s="319"/>
      <c r="D6" s="319"/>
      <c r="E6" s="319"/>
      <c r="F6" s="319"/>
      <c r="G6" s="320"/>
      <c r="H6" s="175"/>
      <c r="I6" s="175"/>
      <c r="J6" s="175"/>
      <c r="K6" s="175"/>
      <c r="L6" s="175"/>
      <c r="M6" s="175"/>
      <c r="N6" s="175"/>
      <c r="O6" s="175"/>
      <c r="P6" s="175"/>
      <c r="Q6" s="175"/>
      <c r="R6" s="175"/>
      <c r="S6" s="175"/>
      <c r="T6" s="175"/>
      <c r="U6" s="175"/>
      <c r="V6" s="175"/>
      <c r="W6" s="175"/>
      <c r="X6" s="175"/>
      <c r="Y6" s="175"/>
      <c r="Z6" s="175"/>
    </row>
    <row r="7" spans="1:78" ht="18.75" customHeight="1" x14ac:dyDescent="0.25">
      <c r="B7" s="318" t="s">
        <v>12</v>
      </c>
      <c r="C7" s="319"/>
      <c r="D7" s="319"/>
      <c r="E7" s="319"/>
      <c r="F7" s="319"/>
      <c r="G7" s="320"/>
      <c r="H7" s="175"/>
      <c r="I7" s="175"/>
      <c r="J7" s="175"/>
      <c r="K7" s="175"/>
      <c r="L7" s="175"/>
      <c r="M7" s="175"/>
      <c r="N7" s="175"/>
      <c r="O7" s="175"/>
      <c r="P7" s="175"/>
      <c r="Q7" s="175"/>
      <c r="R7" s="175"/>
      <c r="S7" s="175"/>
      <c r="T7" s="175"/>
      <c r="U7" s="175"/>
      <c r="V7" s="175"/>
      <c r="W7" s="175"/>
      <c r="X7" s="175"/>
      <c r="Y7" s="175"/>
      <c r="Z7" s="175"/>
    </row>
    <row r="8" spans="1:78" ht="18.75" customHeight="1" x14ac:dyDescent="0.25">
      <c r="B8" s="318" t="s">
        <v>13</v>
      </c>
      <c r="C8" s="319"/>
      <c r="D8" s="319"/>
      <c r="E8" s="319"/>
      <c r="F8" s="319"/>
      <c r="G8" s="320"/>
      <c r="H8" s="175"/>
      <c r="I8" s="175"/>
      <c r="J8" s="175"/>
      <c r="K8" s="175"/>
      <c r="L8" s="175"/>
      <c r="M8" s="175"/>
      <c r="N8" s="175"/>
      <c r="O8" s="175"/>
      <c r="P8" s="175"/>
      <c r="Q8" s="175"/>
      <c r="R8" s="175"/>
      <c r="S8" s="175"/>
      <c r="T8" s="175"/>
      <c r="U8" s="175"/>
      <c r="V8" s="175"/>
      <c r="W8" s="175"/>
      <c r="X8" s="175"/>
      <c r="Y8" s="175"/>
      <c r="Z8" s="175"/>
    </row>
    <row r="9" spans="1:78" ht="18.75" customHeight="1" x14ac:dyDescent="0.25">
      <c r="B9" s="153"/>
      <c r="C9" s="152" t="s">
        <v>14</v>
      </c>
      <c r="D9" s="152"/>
      <c r="E9" s="152"/>
      <c r="F9" s="59"/>
      <c r="G9" s="154" t="s">
        <v>15</v>
      </c>
      <c r="H9" s="154"/>
      <c r="I9" s="154"/>
      <c r="J9" s="59"/>
      <c r="K9" s="154" t="s">
        <v>409</v>
      </c>
      <c r="L9" s="154"/>
      <c r="M9" s="154"/>
      <c r="N9" s="154"/>
      <c r="O9" s="154"/>
      <c r="P9" s="154"/>
      <c r="Q9" s="154"/>
      <c r="R9" s="154"/>
      <c r="S9" s="59"/>
      <c r="T9" s="59"/>
      <c r="U9" s="59"/>
      <c r="V9" s="59"/>
      <c r="W9" s="59"/>
      <c r="X9" s="59"/>
      <c r="Y9" s="59"/>
      <c r="Z9" s="155"/>
    </row>
    <row r="10" spans="1:78" ht="18.75" customHeight="1" x14ac:dyDescent="0.25">
      <c r="B10" s="220" t="s">
        <v>480</v>
      </c>
      <c r="C10" s="221"/>
      <c r="D10" s="221"/>
      <c r="E10" s="221"/>
      <c r="F10" s="221"/>
      <c r="G10" s="221"/>
      <c r="H10" s="221"/>
      <c r="I10" s="327"/>
      <c r="J10" s="328" t="str">
        <f ca="1">IF(ISBLANK($H$5),"",OFFSET(Lists!$AI$1,MATCH('RC5'!$G$9,Lists!$AA$2:$AA$4,FALSE),MATCH('RC5'!$H$5,Lists!$AJ$1:$BA$1,1)))</f>
        <v/>
      </c>
      <c r="K10" s="328"/>
      <c r="L10" s="328"/>
      <c r="M10" s="328"/>
      <c r="N10" s="328"/>
      <c r="O10" s="328"/>
      <c r="P10" s="328"/>
      <c r="Q10" s="328"/>
      <c r="R10" s="328"/>
      <c r="S10" s="328"/>
      <c r="T10" s="328"/>
      <c r="U10" s="328"/>
      <c r="V10" s="328"/>
      <c r="W10" s="328"/>
      <c r="X10" s="328"/>
      <c r="Y10" s="328"/>
      <c r="Z10" s="328"/>
      <c r="AA10" s="17"/>
      <c r="AB10" s="17"/>
      <c r="AC10" s="17"/>
      <c r="AD10" s="17"/>
      <c r="AE10" s="17"/>
      <c r="AF10" s="17"/>
      <c r="AG10" s="17"/>
      <c r="AH10" s="17"/>
      <c r="AI10" s="17"/>
      <c r="AJ10" s="17"/>
      <c r="AK10" s="17"/>
      <c r="AL10" s="17"/>
      <c r="AM10" s="17"/>
      <c r="AN10" s="17"/>
      <c r="AO10" s="17"/>
      <c r="AP10" s="17"/>
      <c r="AQ10" s="17"/>
      <c r="AR10" s="17"/>
      <c r="AS10" s="17"/>
      <c r="AT10" s="17"/>
      <c r="AU10" s="17"/>
    </row>
    <row r="11" spans="1:78" ht="18.75" customHeight="1" x14ac:dyDescent="0.25">
      <c r="G11" s="46"/>
      <c r="H11" s="46"/>
      <c r="I11" s="46"/>
      <c r="J11" s="46"/>
      <c r="K11" s="46"/>
      <c r="L11" s="46"/>
      <c r="M11" s="46"/>
      <c r="N11" s="46"/>
      <c r="O11" s="46"/>
      <c r="P11" s="46"/>
      <c r="Q11" s="46"/>
      <c r="R11" s="46"/>
    </row>
    <row r="12" spans="1:78" ht="18.75" customHeight="1" x14ac:dyDescent="0.25">
      <c r="B12" s="321" t="s">
        <v>457</v>
      </c>
      <c r="C12" s="322"/>
      <c r="D12" s="322"/>
      <c r="E12" s="322"/>
      <c r="F12" s="322"/>
      <c r="G12" s="322"/>
      <c r="H12" s="322"/>
      <c r="I12" s="322"/>
      <c r="J12" s="322"/>
      <c r="K12" s="322"/>
      <c r="L12" s="322"/>
      <c r="M12" s="322"/>
      <c r="N12" s="322"/>
      <c r="O12" s="322"/>
      <c r="P12" s="322"/>
      <c r="Q12" s="322"/>
      <c r="R12" s="322"/>
      <c r="S12" s="322"/>
      <c r="T12" s="322"/>
      <c r="U12" s="323"/>
      <c r="W12" s="329" t="s">
        <v>7</v>
      </c>
      <c r="X12" s="329"/>
      <c r="Y12" s="329"/>
      <c r="Z12" s="329"/>
      <c r="AC12" s="17"/>
    </row>
    <row r="13" spans="1:78" ht="18.75" customHeight="1" thickBot="1" x14ac:dyDescent="0.3">
      <c r="A13" s="10"/>
      <c r="B13" s="77" t="str">
        <f>IF($W$12="Yes","**Before continuing, please consult with BPA Technical Staff for assistance**","")</f>
        <v/>
      </c>
      <c r="C13" s="77"/>
      <c r="D13" s="77"/>
      <c r="E13" s="77"/>
      <c r="F13" s="77"/>
      <c r="G13" s="77"/>
      <c r="H13" s="77"/>
      <c r="I13" s="77"/>
      <c r="J13" s="77"/>
      <c r="K13" s="77"/>
      <c r="L13" s="77"/>
      <c r="M13" s="77"/>
      <c r="N13" s="77"/>
      <c r="O13" s="17"/>
      <c r="P13" s="77"/>
      <c r="Q13" s="77"/>
      <c r="AC13" s="17"/>
      <c r="BL13" s="17"/>
      <c r="BM13" s="17"/>
      <c r="BN13" s="17"/>
      <c r="BO13" s="17"/>
      <c r="BP13" s="17"/>
      <c r="BQ13" s="17"/>
      <c r="BR13" s="17"/>
      <c r="BS13" s="17"/>
      <c r="BT13" s="17"/>
      <c r="BU13" s="17"/>
    </row>
    <row r="14" spans="1:78" ht="18.75" customHeight="1" thickBot="1" x14ac:dyDescent="0.3">
      <c r="F14" s="2"/>
      <c r="G14" s="2"/>
      <c r="H14" s="2"/>
      <c r="I14" s="2"/>
      <c r="R14" s="309" t="s">
        <v>22</v>
      </c>
      <c r="S14" s="310"/>
      <c r="T14" s="310"/>
      <c r="U14" s="311"/>
      <c r="W14" s="309" t="s">
        <v>30</v>
      </c>
      <c r="X14" s="310"/>
      <c r="Y14" s="310"/>
      <c r="Z14" s="311"/>
      <c r="BC14" s="17"/>
      <c r="BE14" s="17"/>
      <c r="BF14" s="17"/>
      <c r="BG14" s="17"/>
      <c r="BH14" s="17"/>
      <c r="BI14" s="17"/>
      <c r="BJ14" s="17"/>
      <c r="BK14" s="17"/>
      <c r="BL14" s="17"/>
      <c r="BM14" s="17"/>
      <c r="BN14" s="17"/>
      <c r="BO14" s="17"/>
      <c r="BP14" s="17"/>
      <c r="BQ14" s="17"/>
      <c r="BR14" s="17"/>
      <c r="BS14" s="17"/>
      <c r="BT14" s="17"/>
      <c r="BU14" s="17"/>
    </row>
    <row r="15" spans="1:78" ht="18.75" customHeight="1" thickBot="1" x14ac:dyDescent="0.3">
      <c r="B15" s="324" t="s">
        <v>524</v>
      </c>
      <c r="C15" s="325"/>
      <c r="D15" s="325"/>
      <c r="E15" s="325"/>
      <c r="F15" s="325"/>
      <c r="G15" s="325"/>
      <c r="H15" s="325"/>
      <c r="I15" s="325"/>
      <c r="J15" s="325"/>
      <c r="K15" s="325"/>
      <c r="L15" s="325"/>
      <c r="M15" s="325"/>
      <c r="N15" s="325"/>
      <c r="O15" s="325"/>
      <c r="P15" s="326"/>
      <c r="R15" s="312"/>
      <c r="S15" s="313"/>
      <c r="T15" s="313"/>
      <c r="U15" s="314"/>
      <c r="W15" s="312"/>
      <c r="X15" s="313"/>
      <c r="Y15" s="313"/>
      <c r="Z15" s="314"/>
      <c r="AM15" s="17"/>
      <c r="AN15" s="17"/>
      <c r="AO15" s="17"/>
      <c r="AP15" s="17"/>
      <c r="AQ15" s="17"/>
      <c r="AR15" s="17"/>
      <c r="AS15" s="17"/>
      <c r="AT15" s="17"/>
      <c r="AU15" s="17"/>
      <c r="AV15" s="17"/>
      <c r="AW15" s="17"/>
      <c r="AX15" s="17"/>
      <c r="AY15" s="17"/>
      <c r="AZ15" s="17"/>
      <c r="BA15" s="17"/>
      <c r="BB15" s="17"/>
      <c r="BC15" s="17"/>
      <c r="BD15" s="17"/>
      <c r="BE15" s="17"/>
      <c r="BF15" s="17"/>
    </row>
    <row r="16" spans="1:78" ht="18.75" customHeight="1" x14ac:dyDescent="0.25">
      <c r="B16" s="256" t="s">
        <v>428</v>
      </c>
      <c r="C16" s="256"/>
      <c r="D16" s="256"/>
      <c r="E16" s="256"/>
      <c r="F16" s="256"/>
      <c r="G16" s="256"/>
      <c r="H16" s="256"/>
      <c r="I16" s="256"/>
      <c r="J16" s="256"/>
      <c r="K16" s="256"/>
      <c r="L16" s="256"/>
      <c r="M16" s="256"/>
      <c r="N16" s="256"/>
      <c r="O16" s="256"/>
      <c r="P16" s="256"/>
      <c r="Q16" s="17"/>
      <c r="R16" s="330"/>
      <c r="S16" s="331"/>
      <c r="T16" s="331"/>
      <c r="U16" s="332"/>
      <c r="W16" s="361"/>
      <c r="X16" s="361"/>
      <c r="Y16" s="361"/>
      <c r="Z16" s="361"/>
      <c r="AD16" s="17"/>
      <c r="AW16" s="17"/>
      <c r="AX16" s="17"/>
      <c r="BC16" s="17"/>
      <c r="BD16" s="17"/>
      <c r="BE16" s="17"/>
      <c r="BF16" s="17"/>
    </row>
    <row r="17" spans="1:37" ht="18.75" customHeight="1" x14ac:dyDescent="0.25">
      <c r="B17" s="316" t="s">
        <v>511</v>
      </c>
      <c r="C17" s="316"/>
      <c r="D17" s="316"/>
      <c r="E17" s="316"/>
      <c r="F17" s="316"/>
      <c r="G17" s="316"/>
      <c r="H17" s="316"/>
      <c r="I17" s="316"/>
      <c r="J17" s="316"/>
      <c r="K17" s="316"/>
      <c r="L17" s="316"/>
      <c r="M17" s="316"/>
      <c r="N17" s="316"/>
      <c r="O17" s="316"/>
      <c r="P17" s="316"/>
      <c r="Q17" s="2"/>
      <c r="R17" s="369"/>
      <c r="S17" s="369"/>
      <c r="T17" s="369"/>
      <c r="U17" s="369"/>
      <c r="V17" s="2"/>
      <c r="W17" s="387">
        <f t="shared" ref="W17:W21" si="0">R17</f>
        <v>0</v>
      </c>
      <c r="X17" s="387"/>
      <c r="Y17" s="387"/>
      <c r="Z17" s="387"/>
      <c r="AD17" s="17"/>
    </row>
    <row r="18" spans="1:37" ht="18.75" customHeight="1" x14ac:dyDescent="0.25">
      <c r="B18" s="256" t="s">
        <v>429</v>
      </c>
      <c r="C18" s="256"/>
      <c r="D18" s="256"/>
      <c r="E18" s="256"/>
      <c r="F18" s="256"/>
      <c r="G18" s="256"/>
      <c r="H18" s="256"/>
      <c r="I18" s="256"/>
      <c r="J18" s="256"/>
      <c r="K18" s="256"/>
      <c r="L18" s="256"/>
      <c r="M18" s="256"/>
      <c r="N18" s="256"/>
      <c r="O18" s="256"/>
      <c r="P18" s="256"/>
      <c r="Q18" s="2"/>
      <c r="R18" s="370"/>
      <c r="S18" s="370"/>
      <c r="T18" s="370"/>
      <c r="U18" s="370"/>
      <c r="V18" s="2"/>
      <c r="W18" s="389">
        <f t="shared" si="0"/>
        <v>0</v>
      </c>
      <c r="X18" s="389"/>
      <c r="Y18" s="389"/>
      <c r="Z18" s="389"/>
      <c r="AE18" s="2"/>
    </row>
    <row r="19" spans="1:37" ht="18.75" customHeight="1" x14ac:dyDescent="0.25">
      <c r="B19" s="256" t="s">
        <v>430</v>
      </c>
      <c r="C19" s="256"/>
      <c r="D19" s="256"/>
      <c r="E19" s="256"/>
      <c r="F19" s="256"/>
      <c r="G19" s="256"/>
      <c r="H19" s="256"/>
      <c r="I19" s="256"/>
      <c r="J19" s="256"/>
      <c r="K19" s="256"/>
      <c r="L19" s="256"/>
      <c r="M19" s="256"/>
      <c r="N19" s="256"/>
      <c r="O19" s="256"/>
      <c r="P19" s="256"/>
      <c r="Q19" s="2"/>
      <c r="R19" s="315" t="str">
        <f>IFERROR($R$17/$R$18,"")</f>
        <v/>
      </c>
      <c r="S19" s="315"/>
      <c r="T19" s="315"/>
      <c r="U19" s="315"/>
      <c r="V19" s="7"/>
      <c r="W19" s="363" t="str">
        <f t="shared" si="0"/>
        <v/>
      </c>
      <c r="X19" s="363"/>
      <c r="Y19" s="363"/>
      <c r="Z19" s="363"/>
      <c r="AB19" s="343" t="s">
        <v>670</v>
      </c>
      <c r="AC19" s="344"/>
      <c r="AD19" s="344"/>
      <c r="AE19" s="344"/>
      <c r="AF19" s="344"/>
      <c r="AG19" s="344"/>
      <c r="AH19" s="344"/>
      <c r="AI19" s="344"/>
      <c r="AJ19" s="344"/>
      <c r="AK19" s="345"/>
    </row>
    <row r="20" spans="1:37" ht="18.75" customHeight="1" x14ac:dyDescent="0.25">
      <c r="B20" s="256" t="s">
        <v>512</v>
      </c>
      <c r="C20" s="256"/>
      <c r="D20" s="256"/>
      <c r="E20" s="256"/>
      <c r="F20" s="256"/>
      <c r="G20" s="256"/>
      <c r="H20" s="256"/>
      <c r="I20" s="256"/>
      <c r="J20" s="256"/>
      <c r="K20" s="256"/>
      <c r="L20" s="256"/>
      <c r="M20" s="256"/>
      <c r="N20" s="256"/>
      <c r="O20" s="256"/>
      <c r="P20" s="256"/>
      <c r="Q20" s="2"/>
      <c r="R20" s="365"/>
      <c r="S20" s="366"/>
      <c r="T20" s="366"/>
      <c r="U20" s="367"/>
      <c r="V20" s="61"/>
      <c r="W20" s="388">
        <f t="shared" si="0"/>
        <v>0</v>
      </c>
      <c r="X20" s="388"/>
      <c r="Y20" s="388"/>
      <c r="Z20" s="388"/>
      <c r="AB20" s="346"/>
      <c r="AC20" s="347"/>
      <c r="AD20" s="347"/>
      <c r="AE20" s="347"/>
      <c r="AF20" s="347"/>
      <c r="AG20" s="347"/>
      <c r="AH20" s="347"/>
      <c r="AI20" s="347"/>
      <c r="AJ20" s="347"/>
      <c r="AK20" s="348"/>
    </row>
    <row r="21" spans="1:37" ht="18.75" customHeight="1" x14ac:dyDescent="0.25">
      <c r="B21" s="256" t="s">
        <v>431</v>
      </c>
      <c r="C21" s="256"/>
      <c r="D21" s="256"/>
      <c r="E21" s="256"/>
      <c r="F21" s="256"/>
      <c r="G21" s="256"/>
      <c r="H21" s="256"/>
      <c r="I21" s="256"/>
      <c r="J21" s="256"/>
      <c r="K21" s="256"/>
      <c r="L21" s="256"/>
      <c r="M21" s="256"/>
      <c r="N21" s="256"/>
      <c r="O21" s="256"/>
      <c r="P21" s="256"/>
      <c r="Q21" s="2"/>
      <c r="R21" s="315" t="str">
        <f>IFERROR($R$20/$R$18,"")</f>
        <v/>
      </c>
      <c r="S21" s="315"/>
      <c r="T21" s="315"/>
      <c r="U21" s="315"/>
      <c r="V21" s="7"/>
      <c r="W21" s="363" t="str">
        <f t="shared" si="0"/>
        <v/>
      </c>
      <c r="X21" s="363"/>
      <c r="Y21" s="363"/>
      <c r="Z21" s="363"/>
      <c r="AB21" s="349"/>
      <c r="AC21" s="350"/>
      <c r="AD21" s="350"/>
      <c r="AE21" s="350"/>
      <c r="AF21" s="350"/>
      <c r="AG21" s="350"/>
      <c r="AH21" s="350"/>
      <c r="AI21" s="350"/>
      <c r="AJ21" s="350"/>
      <c r="AK21" s="351"/>
    </row>
    <row r="22" spans="1:37" ht="18.75" customHeight="1" x14ac:dyDescent="0.25">
      <c r="B22" s="2"/>
      <c r="C22" s="2"/>
      <c r="D22" s="2"/>
      <c r="Q22" s="2"/>
      <c r="R22" s="2"/>
      <c r="V22" s="2"/>
      <c r="W22" s="161"/>
      <c r="X22" s="25"/>
      <c r="Y22" s="25"/>
      <c r="Z22" s="25"/>
      <c r="AB22" s="119"/>
      <c r="AC22" s="119"/>
      <c r="AD22" s="119"/>
      <c r="AE22" s="2"/>
      <c r="AF22" s="17"/>
      <c r="AG22" s="17"/>
      <c r="AH22" s="17"/>
      <c r="AI22" s="17"/>
      <c r="AJ22" s="17"/>
      <c r="AK22" s="119"/>
    </row>
    <row r="23" spans="1:37" ht="18.75" customHeight="1" x14ac:dyDescent="0.25">
      <c r="B23" s="256" t="s">
        <v>432</v>
      </c>
      <c r="C23" s="256"/>
      <c r="D23" s="256"/>
      <c r="E23" s="256"/>
      <c r="F23" s="256"/>
      <c r="G23" s="256"/>
      <c r="H23" s="256"/>
      <c r="I23" s="256"/>
      <c r="J23" s="256"/>
      <c r="K23" s="256"/>
      <c r="L23" s="256"/>
      <c r="M23" s="256"/>
      <c r="N23" s="256"/>
      <c r="O23" s="256"/>
      <c r="P23" s="256"/>
      <c r="Q23" s="2"/>
      <c r="R23" s="368"/>
      <c r="S23" s="368"/>
      <c r="T23" s="368"/>
      <c r="U23" s="368"/>
      <c r="V23" s="82"/>
      <c r="W23" s="386">
        <f>R23</f>
        <v>0</v>
      </c>
      <c r="X23" s="386"/>
      <c r="Y23" s="386"/>
      <c r="Z23" s="386"/>
      <c r="AB23" s="352" t="s">
        <v>669</v>
      </c>
      <c r="AC23" s="353"/>
      <c r="AD23" s="353"/>
      <c r="AE23" s="353"/>
      <c r="AF23" s="353"/>
      <c r="AG23" s="353"/>
      <c r="AH23" s="353"/>
      <c r="AI23" s="353"/>
      <c r="AJ23" s="353"/>
      <c r="AK23" s="354"/>
    </row>
    <row r="24" spans="1:37" ht="18.75" customHeight="1" x14ac:dyDescent="0.25">
      <c r="B24" s="256" t="s">
        <v>470</v>
      </c>
      <c r="C24" s="256"/>
      <c r="D24" s="256"/>
      <c r="E24" s="256"/>
      <c r="F24" s="256"/>
      <c r="G24" s="256"/>
      <c r="H24" s="256"/>
      <c r="I24" s="256"/>
      <c r="J24" s="256"/>
      <c r="K24" s="256"/>
      <c r="L24" s="256"/>
      <c r="M24" s="256"/>
      <c r="N24" s="256"/>
      <c r="O24" s="256"/>
      <c r="P24" s="256"/>
      <c r="Q24" s="2"/>
      <c r="R24" s="372">
        <f>IFERROR(0.85*$R$23^2+0.15*$R$23,"")</f>
        <v>0</v>
      </c>
      <c r="S24" s="372"/>
      <c r="T24" s="372"/>
      <c r="U24" s="372"/>
      <c r="V24" s="2"/>
      <c r="W24" s="372">
        <f>IFERROR(0.85*$W$23^2+0.15*$W$23,"")</f>
        <v>0</v>
      </c>
      <c r="X24" s="372"/>
      <c r="Y24" s="372"/>
      <c r="Z24" s="372"/>
      <c r="AB24" s="355"/>
      <c r="AC24" s="356"/>
      <c r="AD24" s="356"/>
      <c r="AE24" s="356"/>
      <c r="AF24" s="356"/>
      <c r="AG24" s="356"/>
      <c r="AH24" s="356"/>
      <c r="AI24" s="356"/>
      <c r="AJ24" s="356"/>
      <c r="AK24" s="357"/>
    </row>
    <row r="25" spans="1:37" ht="18.75" customHeight="1" x14ac:dyDescent="0.25">
      <c r="B25" s="256" t="s">
        <v>23</v>
      </c>
      <c r="C25" s="256"/>
      <c r="D25" s="256"/>
      <c r="E25" s="256"/>
      <c r="F25" s="256"/>
      <c r="G25" s="256"/>
      <c r="H25" s="256"/>
      <c r="I25" s="256"/>
      <c r="J25" s="256"/>
      <c r="K25" s="256"/>
      <c r="L25" s="256"/>
      <c r="M25" s="256"/>
      <c r="N25" s="256"/>
      <c r="O25" s="256"/>
      <c r="P25" s="256"/>
      <c r="Q25" s="64" t="str">
        <f>IFERROR(R21/R19,"")</f>
        <v/>
      </c>
      <c r="R25" s="372" t="str">
        <f>IFERROR(INDEX('Distribution Factor'!$B$3:$B$53,MATCH($Q$25,'Distribution Factor'!$A$3:$A$53,-1)),"")</f>
        <v/>
      </c>
      <c r="S25" s="372"/>
      <c r="T25" s="372"/>
      <c r="U25" s="372"/>
      <c r="V25" s="65" t="str">
        <f>IFERROR(W21/W19,"")</f>
        <v/>
      </c>
      <c r="W25" s="372" t="str">
        <f>IFERROR(INDEX('Distribution Factor'!$B$3:$B$53,MATCH($V$25,'Distribution Factor'!$A$3:$A$53,-1)),"")</f>
        <v/>
      </c>
      <c r="X25" s="372"/>
      <c r="Y25" s="372"/>
      <c r="Z25" s="372"/>
      <c r="AB25" s="355"/>
      <c r="AC25" s="356"/>
      <c r="AD25" s="356"/>
      <c r="AE25" s="356"/>
      <c r="AF25" s="356"/>
      <c r="AG25" s="356"/>
      <c r="AH25" s="356"/>
      <c r="AI25" s="356"/>
      <c r="AJ25" s="356"/>
      <c r="AK25" s="357"/>
    </row>
    <row r="26" spans="1:37" ht="18.75" customHeight="1" x14ac:dyDescent="0.25">
      <c r="B26" s="36"/>
      <c r="C26" s="36"/>
      <c r="D26" s="36"/>
      <c r="E26" s="36"/>
      <c r="F26" s="36"/>
      <c r="G26" s="36"/>
      <c r="H26" s="36"/>
      <c r="I26" s="36"/>
      <c r="J26" s="36"/>
      <c r="K26" s="36"/>
      <c r="L26" s="36"/>
      <c r="M26" s="35"/>
      <c r="N26" s="35"/>
      <c r="O26" s="35"/>
      <c r="P26" s="35"/>
      <c r="Q26" s="2"/>
      <c r="R26" s="2"/>
      <c r="V26" s="2"/>
      <c r="W26" s="2"/>
      <c r="AB26" s="355"/>
      <c r="AC26" s="356"/>
      <c r="AD26" s="356"/>
      <c r="AE26" s="356"/>
      <c r="AF26" s="356"/>
      <c r="AG26" s="356"/>
      <c r="AH26" s="356"/>
      <c r="AI26" s="356"/>
      <c r="AJ26" s="356"/>
      <c r="AK26" s="357"/>
    </row>
    <row r="27" spans="1:37" ht="18.75" customHeight="1" x14ac:dyDescent="0.25">
      <c r="B27" s="256" t="s">
        <v>433</v>
      </c>
      <c r="C27" s="256"/>
      <c r="D27" s="256"/>
      <c r="E27" s="256"/>
      <c r="F27" s="256"/>
      <c r="G27" s="256"/>
      <c r="H27" s="256"/>
      <c r="I27" s="256"/>
      <c r="J27" s="256"/>
      <c r="K27" s="256"/>
      <c r="L27" s="256"/>
      <c r="M27" s="256"/>
      <c r="N27" s="256"/>
      <c r="O27" s="256"/>
      <c r="P27" s="256"/>
      <c r="Q27" s="2"/>
      <c r="R27" s="371"/>
      <c r="S27" s="371"/>
      <c r="T27" s="371"/>
      <c r="U27" s="371"/>
      <c r="V27" s="2"/>
      <c r="W27" s="371"/>
      <c r="X27" s="371"/>
      <c r="Y27" s="371"/>
      <c r="Z27" s="371"/>
      <c r="AB27" s="358"/>
      <c r="AC27" s="359"/>
      <c r="AD27" s="359"/>
      <c r="AE27" s="359"/>
      <c r="AF27" s="359"/>
      <c r="AG27" s="359"/>
      <c r="AH27" s="359"/>
      <c r="AI27" s="359"/>
      <c r="AJ27" s="359"/>
      <c r="AK27" s="360"/>
    </row>
    <row r="28" spans="1:37" ht="18.75" customHeight="1" x14ac:dyDescent="0.25">
      <c r="B28" s="2"/>
      <c r="C28" s="2"/>
      <c r="D28" s="2"/>
      <c r="Q28" s="2"/>
      <c r="R28" s="2"/>
      <c r="V28" s="2"/>
      <c r="W28" s="2"/>
      <c r="AB28" s="119"/>
      <c r="AC28" s="119"/>
      <c r="AD28" s="119"/>
      <c r="AE28" s="2"/>
      <c r="AF28" s="119"/>
      <c r="AG28" s="119"/>
      <c r="AH28" s="119"/>
      <c r="AI28" s="119"/>
      <c r="AJ28" s="119"/>
      <c r="AK28" s="119"/>
    </row>
    <row r="29" spans="1:37" ht="18.75" customHeight="1" x14ac:dyDescent="0.25">
      <c r="B29" s="256" t="s">
        <v>24</v>
      </c>
      <c r="C29" s="256"/>
      <c r="D29" s="256"/>
      <c r="E29" s="256"/>
      <c r="F29" s="256"/>
      <c r="G29" s="256"/>
      <c r="H29" s="256"/>
      <c r="I29" s="256"/>
      <c r="J29" s="256"/>
      <c r="K29" s="256"/>
      <c r="L29" s="256"/>
      <c r="M29" s="256"/>
      <c r="N29" s="256"/>
      <c r="O29" s="256"/>
      <c r="P29" s="256"/>
      <c r="Q29" s="2"/>
      <c r="R29" s="255" t="s">
        <v>3</v>
      </c>
      <c r="S29" s="255"/>
      <c r="T29" s="255"/>
      <c r="U29" s="255"/>
      <c r="V29" s="2"/>
      <c r="W29" s="255" t="s">
        <v>3</v>
      </c>
      <c r="X29" s="255"/>
      <c r="Y29" s="255"/>
      <c r="Z29" s="255"/>
      <c r="AB29" s="119"/>
      <c r="AC29" s="119"/>
      <c r="AD29" s="119"/>
      <c r="AE29" s="2"/>
      <c r="AF29" s="119"/>
      <c r="AG29" s="119"/>
      <c r="AH29" s="119"/>
      <c r="AI29" s="119"/>
      <c r="AJ29" s="119"/>
      <c r="AK29" s="119"/>
    </row>
    <row r="30" spans="1:37" ht="18.75" customHeight="1" x14ac:dyDescent="0.25">
      <c r="B30" s="256" t="s">
        <v>25</v>
      </c>
      <c r="C30" s="256"/>
      <c r="D30" s="256"/>
      <c r="E30" s="256"/>
      <c r="F30" s="256"/>
      <c r="G30" s="256"/>
      <c r="H30" s="256"/>
      <c r="I30" s="256"/>
      <c r="J30" s="256"/>
      <c r="K30" s="256"/>
      <c r="L30" s="256"/>
      <c r="M30" s="256"/>
      <c r="N30" s="256"/>
      <c r="O30" s="256"/>
      <c r="P30" s="256"/>
      <c r="Q30" s="2"/>
      <c r="R30" s="255" t="s">
        <v>3</v>
      </c>
      <c r="S30" s="255"/>
      <c r="T30" s="255"/>
      <c r="U30" s="255"/>
      <c r="V30" s="2"/>
      <c r="W30" s="255" t="s">
        <v>3</v>
      </c>
      <c r="X30" s="255"/>
      <c r="Y30" s="255"/>
      <c r="Z30" s="255"/>
      <c r="AB30" s="119"/>
      <c r="AC30" s="119"/>
      <c r="AD30" s="17"/>
      <c r="AE30" s="2"/>
      <c r="AF30" s="119"/>
      <c r="AG30" s="119"/>
      <c r="AH30" s="119"/>
      <c r="AI30" s="119"/>
      <c r="AJ30" s="119"/>
      <c r="AK30" s="119"/>
    </row>
    <row r="31" spans="1:37" ht="18.75" customHeight="1" x14ac:dyDescent="0.25">
      <c r="A31" s="10"/>
      <c r="B31" s="336" t="str">
        <f>IFERROR(IF(OR($R$29+$R$30&lt;2,$W$29+$W$30&lt;2),"**Phase plus neutral conductors must add to 2 or more**",""),"")</f>
        <v/>
      </c>
      <c r="C31" s="336"/>
      <c r="D31" s="336"/>
      <c r="E31" s="336"/>
      <c r="F31" s="336"/>
      <c r="G31" s="336"/>
      <c r="H31" s="336"/>
      <c r="I31" s="336"/>
      <c r="J31" s="336"/>
      <c r="K31" s="336"/>
      <c r="L31" s="336"/>
      <c r="M31" s="336"/>
      <c r="N31" s="336"/>
      <c r="O31" s="336"/>
      <c r="P31" s="336"/>
      <c r="Q31" s="2"/>
      <c r="R31" s="340"/>
      <c r="S31" s="341"/>
      <c r="T31" s="341"/>
      <c r="U31" s="342"/>
      <c r="V31" s="2"/>
      <c r="W31" s="2"/>
      <c r="AB31" s="119"/>
      <c r="AC31" s="119"/>
      <c r="AD31" s="119"/>
      <c r="AE31" s="2"/>
      <c r="AF31" s="119"/>
      <c r="AG31" s="119"/>
      <c r="AH31" s="119"/>
      <c r="AI31" s="119"/>
      <c r="AJ31" s="119"/>
      <c r="AK31" s="119"/>
    </row>
    <row r="32" spans="1:37" ht="18.75" customHeight="1" x14ac:dyDescent="0.25">
      <c r="B32" s="256" t="s">
        <v>27</v>
      </c>
      <c r="C32" s="256"/>
      <c r="D32" s="256"/>
      <c r="E32" s="256"/>
      <c r="F32" s="256"/>
      <c r="G32" s="256"/>
      <c r="H32" s="256"/>
      <c r="I32" s="256"/>
      <c r="J32" s="256"/>
      <c r="K32" s="256"/>
      <c r="L32" s="256"/>
      <c r="M32" s="256"/>
      <c r="N32" s="256"/>
      <c r="O32" s="256"/>
      <c r="P32" s="256"/>
      <c r="Q32" s="2"/>
      <c r="R32" s="333" t="s">
        <v>3</v>
      </c>
      <c r="S32" s="333"/>
      <c r="T32" s="333"/>
      <c r="U32" s="333"/>
      <c r="V32" s="2"/>
      <c r="W32" s="255" t="s">
        <v>3</v>
      </c>
      <c r="X32" s="255"/>
      <c r="Y32" s="255"/>
      <c r="Z32" s="255"/>
      <c r="AB32" s="119"/>
      <c r="AC32" s="119"/>
      <c r="AD32" s="119"/>
      <c r="AE32" s="2"/>
      <c r="AF32" s="119"/>
      <c r="AG32" s="119"/>
      <c r="AH32" s="119"/>
      <c r="AI32" s="119"/>
      <c r="AJ32" s="119"/>
      <c r="AK32" s="119"/>
    </row>
    <row r="33" spans="2:61" ht="18.75" customHeight="1" x14ac:dyDescent="0.25">
      <c r="B33" s="256" t="s">
        <v>26</v>
      </c>
      <c r="C33" s="256"/>
      <c r="D33" s="256"/>
      <c r="E33" s="256"/>
      <c r="F33" s="256"/>
      <c r="G33" s="256"/>
      <c r="H33" s="256"/>
      <c r="I33" s="256"/>
      <c r="J33" s="256"/>
      <c r="K33" s="256"/>
      <c r="L33" s="256"/>
      <c r="M33" s="256"/>
      <c r="N33" s="256"/>
      <c r="O33" s="256"/>
      <c r="P33" s="256"/>
      <c r="Q33" s="2"/>
      <c r="R33" s="172"/>
      <c r="S33" s="172"/>
      <c r="T33" s="172"/>
      <c r="U33" s="172"/>
      <c r="V33" s="2"/>
      <c r="W33" s="255"/>
      <c r="X33" s="255"/>
      <c r="Y33" s="255"/>
      <c r="Z33" s="255"/>
      <c r="AB33" s="119"/>
      <c r="AC33" s="119"/>
      <c r="AD33" s="119"/>
      <c r="AE33" s="17"/>
      <c r="AF33" s="2"/>
      <c r="AG33" s="119"/>
      <c r="AH33" s="119"/>
      <c r="AI33" s="119"/>
      <c r="AJ33" s="119"/>
      <c r="AK33" s="119"/>
    </row>
    <row r="34" spans="2:61" ht="18.75" customHeight="1" x14ac:dyDescent="0.25">
      <c r="B34" s="256" t="s">
        <v>109</v>
      </c>
      <c r="C34" s="256"/>
      <c r="D34" s="256"/>
      <c r="E34" s="256"/>
      <c r="F34" s="256"/>
      <c r="G34" s="256"/>
      <c r="H34" s="256"/>
      <c r="I34" s="256"/>
      <c r="J34" s="256"/>
      <c r="K34" s="256"/>
      <c r="L34" s="256"/>
      <c r="M34" s="256"/>
      <c r="N34" s="256"/>
      <c r="O34" s="256"/>
      <c r="P34" s="256"/>
      <c r="Q34" s="2"/>
      <c r="R34" s="257" t="str">
        <f ca="1">IFERROR(VLOOKUP($R$33,INDIRECT($R$32&amp;"T"),2,),"")</f>
        <v/>
      </c>
      <c r="S34" s="257"/>
      <c r="T34" s="257"/>
      <c r="U34" s="257"/>
      <c r="V34" s="2"/>
      <c r="W34" s="257" t="str">
        <f ca="1">IFERROR(VLOOKUP($W$33,INDIRECT($W$32&amp;"T"),2,),"")</f>
        <v/>
      </c>
      <c r="X34" s="257"/>
      <c r="Y34" s="257"/>
      <c r="Z34" s="257"/>
      <c r="AB34" s="119"/>
      <c r="AC34" s="119"/>
      <c r="AD34" s="17"/>
      <c r="AE34" s="17"/>
      <c r="AF34" s="119"/>
      <c r="AG34" s="17"/>
      <c r="AH34" s="119"/>
      <c r="AI34" s="119"/>
      <c r="AJ34" s="119"/>
      <c r="AK34" s="119"/>
    </row>
    <row r="35" spans="2:61" ht="18.75" customHeight="1" x14ac:dyDescent="0.25">
      <c r="Q35" s="2"/>
      <c r="R35" s="2"/>
      <c r="S35" s="2"/>
      <c r="V35" s="2"/>
      <c r="W35" s="2"/>
      <c r="AB35" s="119"/>
      <c r="AC35" s="119"/>
      <c r="AD35" s="119"/>
      <c r="AE35" s="119"/>
      <c r="AF35" s="119"/>
      <c r="AG35" s="119"/>
      <c r="AH35" s="119"/>
      <c r="AI35" s="119"/>
      <c r="AJ35" s="119"/>
      <c r="AK35" s="119"/>
    </row>
    <row r="36" spans="2:61" ht="18.75" customHeight="1" x14ac:dyDescent="0.25">
      <c r="B36" s="256" t="s">
        <v>29</v>
      </c>
      <c r="C36" s="256"/>
      <c r="D36" s="256"/>
      <c r="E36" s="256"/>
      <c r="F36" s="256"/>
      <c r="G36" s="256"/>
      <c r="H36" s="256"/>
      <c r="I36" s="256"/>
      <c r="J36" s="256"/>
      <c r="K36" s="256"/>
      <c r="L36" s="256"/>
      <c r="M36" s="256"/>
      <c r="N36" s="256"/>
      <c r="O36" s="256"/>
      <c r="P36" s="256"/>
      <c r="Q36" s="2"/>
      <c r="R36" s="333" t="s">
        <v>3</v>
      </c>
      <c r="S36" s="333"/>
      <c r="T36" s="333"/>
      <c r="U36" s="333"/>
      <c r="V36" s="2"/>
      <c r="W36" s="255" t="s">
        <v>3</v>
      </c>
      <c r="X36" s="255"/>
      <c r="Y36" s="255"/>
      <c r="Z36" s="255"/>
      <c r="AB36" s="119"/>
      <c r="AC36" s="119"/>
      <c r="AD36" s="119"/>
      <c r="AE36" s="2"/>
      <c r="AF36" s="119"/>
      <c r="AG36" s="119"/>
      <c r="AH36" s="119"/>
      <c r="AI36" s="119"/>
      <c r="AJ36" s="119"/>
      <c r="AK36" s="119"/>
    </row>
    <row r="37" spans="2:61" ht="18.75" customHeight="1" x14ac:dyDescent="0.25">
      <c r="B37" s="256" t="s">
        <v>28</v>
      </c>
      <c r="C37" s="256"/>
      <c r="D37" s="256"/>
      <c r="E37" s="256"/>
      <c r="F37" s="256"/>
      <c r="G37" s="256"/>
      <c r="H37" s="256"/>
      <c r="I37" s="256"/>
      <c r="J37" s="256"/>
      <c r="K37" s="256"/>
      <c r="L37" s="256"/>
      <c r="M37" s="256"/>
      <c r="N37" s="256"/>
      <c r="O37" s="256"/>
      <c r="P37" s="256"/>
      <c r="Q37" s="2"/>
      <c r="R37" s="255"/>
      <c r="S37" s="255"/>
      <c r="T37" s="255"/>
      <c r="U37" s="255"/>
      <c r="V37" s="2"/>
      <c r="W37" s="255"/>
      <c r="X37" s="255"/>
      <c r="Y37" s="255"/>
      <c r="Z37" s="255"/>
      <c r="AB37" s="119"/>
      <c r="AC37" s="119"/>
      <c r="AD37" s="119"/>
      <c r="AE37" s="2"/>
      <c r="AF37" s="119"/>
      <c r="AG37" s="119"/>
      <c r="AH37" s="119"/>
      <c r="AI37" s="119"/>
      <c r="AJ37" s="119"/>
      <c r="AK37" s="119"/>
    </row>
    <row r="38" spans="2:61" ht="18.75" customHeight="1" x14ac:dyDescent="0.25">
      <c r="B38" s="256" t="s">
        <v>109</v>
      </c>
      <c r="C38" s="256"/>
      <c r="D38" s="256"/>
      <c r="E38" s="256"/>
      <c r="F38" s="256"/>
      <c r="G38" s="256"/>
      <c r="H38" s="256"/>
      <c r="I38" s="256"/>
      <c r="J38" s="256"/>
      <c r="K38" s="256"/>
      <c r="L38" s="256"/>
      <c r="M38" s="256"/>
      <c r="N38" s="256"/>
      <c r="O38" s="256"/>
      <c r="P38" s="256"/>
      <c r="R38" s="257" t="str">
        <f ca="1">IFERROR(VLOOKUP($R$37,INDIRECT($R$36&amp;"T"),2,),"")</f>
        <v/>
      </c>
      <c r="S38" s="257"/>
      <c r="T38" s="257"/>
      <c r="U38" s="257"/>
      <c r="W38" s="257" t="str">
        <f ca="1">IFERROR(VLOOKUP($W$37,INDIRECT($W$36&amp;"T"),2,),"")</f>
        <v/>
      </c>
      <c r="X38" s="257"/>
      <c r="Y38" s="257"/>
      <c r="Z38" s="257"/>
      <c r="AB38" s="119"/>
      <c r="AC38" s="119"/>
      <c r="AD38" s="119"/>
      <c r="AE38" s="119"/>
      <c r="AF38" s="119"/>
      <c r="AG38" s="119"/>
      <c r="AH38" s="119"/>
      <c r="AI38" s="119"/>
      <c r="AJ38" s="119"/>
      <c r="AK38" s="119"/>
    </row>
    <row r="39" spans="2:61" ht="18.75" customHeight="1" x14ac:dyDescent="0.25">
      <c r="B39" s="2"/>
      <c r="C39" s="2"/>
      <c r="D39" s="2"/>
      <c r="S39" s="2"/>
      <c r="AB39" s="119"/>
      <c r="AC39" s="119"/>
      <c r="AD39" s="119"/>
      <c r="AE39" s="119"/>
      <c r="AF39" s="119"/>
      <c r="AG39" s="119"/>
      <c r="AH39" s="119"/>
      <c r="AI39" s="119"/>
      <c r="AJ39" s="119"/>
      <c r="AK39" s="119"/>
    </row>
    <row r="40" spans="2:61" ht="18.75" customHeight="1" x14ac:dyDescent="0.25">
      <c r="B40" s="256" t="s">
        <v>471</v>
      </c>
      <c r="C40" s="256"/>
      <c r="D40" s="256"/>
      <c r="E40" s="256"/>
      <c r="F40" s="256"/>
      <c r="G40" s="256"/>
      <c r="H40" s="256"/>
      <c r="I40" s="256"/>
      <c r="J40" s="256"/>
      <c r="K40" s="256"/>
      <c r="L40" s="256"/>
      <c r="M40" s="256"/>
      <c r="N40" s="256"/>
      <c r="O40" s="256"/>
      <c r="P40" s="256"/>
      <c r="R40" s="294" t="str">
        <f ca="1">IFERROR(VLOOKUP($R$33,INDIRECT($R$32&amp;"T"),2,)*$W$16,"")</f>
        <v/>
      </c>
      <c r="S40" s="294"/>
      <c r="T40" s="294"/>
      <c r="U40" s="294"/>
      <c r="W40" s="294" t="str">
        <f ca="1">IFERROR(VLOOKUP($W$33,INDIRECT($W$32&amp;"T"),2,)*$W$16,"")</f>
        <v/>
      </c>
      <c r="X40" s="294"/>
      <c r="Y40" s="294"/>
      <c r="Z40" s="294"/>
      <c r="AB40" s="119"/>
      <c r="AC40" s="119"/>
      <c r="AD40" s="119"/>
      <c r="AE40" s="2"/>
      <c r="AF40" s="119"/>
      <c r="AG40" s="119"/>
      <c r="AH40" s="119"/>
      <c r="AI40" s="119"/>
      <c r="AJ40" s="119"/>
      <c r="AK40" s="119"/>
    </row>
    <row r="41" spans="2:61" ht="18.75" customHeight="1" x14ac:dyDescent="0.25">
      <c r="B41" s="256" t="s">
        <v>472</v>
      </c>
      <c r="C41" s="256"/>
      <c r="D41" s="256"/>
      <c r="E41" s="256"/>
      <c r="F41" s="256"/>
      <c r="G41" s="256"/>
      <c r="H41" s="256"/>
      <c r="I41" s="256"/>
      <c r="J41" s="256"/>
      <c r="K41" s="256"/>
      <c r="L41" s="256"/>
      <c r="M41" s="256"/>
      <c r="N41" s="256"/>
      <c r="O41" s="256"/>
      <c r="P41" s="256"/>
      <c r="R41" s="294">
        <f ca="1">IFERROR(VLOOKUP($R$37,INDIRECT($R$36&amp;"T"),2,)*$W$16,0)</f>
        <v>0</v>
      </c>
      <c r="S41" s="294"/>
      <c r="T41" s="294"/>
      <c r="U41" s="294"/>
      <c r="W41" s="294">
        <f ca="1">IFERROR(VLOOKUP($W$37,INDIRECT($W$36&amp;"T"),2,)*$W$16,0)</f>
        <v>0</v>
      </c>
      <c r="X41" s="294"/>
      <c r="Y41" s="294"/>
      <c r="Z41" s="294"/>
      <c r="AB41" s="119"/>
      <c r="AC41" s="119"/>
      <c r="AD41" s="119"/>
      <c r="AE41" s="2"/>
      <c r="AF41" s="119"/>
      <c r="AG41" s="119"/>
      <c r="AH41" s="119"/>
      <c r="AI41" s="119"/>
      <c r="AJ41" s="119"/>
      <c r="AK41" s="119"/>
    </row>
    <row r="42" spans="2:61" ht="18.75" customHeight="1" x14ac:dyDescent="0.25">
      <c r="B42" s="34"/>
      <c r="C42" s="34"/>
      <c r="D42" s="34"/>
      <c r="E42" s="34"/>
      <c r="F42" s="34"/>
      <c r="G42" s="34"/>
      <c r="H42" s="34"/>
      <c r="I42" s="34"/>
      <c r="J42" s="34"/>
      <c r="K42" s="34"/>
      <c r="L42" s="34"/>
      <c r="M42" s="34"/>
      <c r="N42" s="34"/>
      <c r="O42" s="34"/>
      <c r="P42" s="34"/>
      <c r="AB42" s="119"/>
      <c r="AC42" s="119"/>
      <c r="AD42" s="119"/>
      <c r="AE42" s="2"/>
      <c r="AF42" s="119"/>
      <c r="AG42" s="119"/>
      <c r="AH42" s="119"/>
      <c r="AI42" s="119"/>
      <c r="AJ42" s="119"/>
      <c r="AK42" s="119"/>
    </row>
    <row r="43" spans="2:61" ht="18.75" customHeight="1" x14ac:dyDescent="0.25">
      <c r="B43" s="286" t="s">
        <v>469</v>
      </c>
      <c r="C43" s="286"/>
      <c r="D43" s="286"/>
      <c r="E43" s="286"/>
      <c r="F43" s="286"/>
      <c r="G43" s="286"/>
      <c r="H43" s="286"/>
      <c r="I43" s="286"/>
      <c r="J43" s="286"/>
      <c r="K43" s="286"/>
      <c r="L43" s="286"/>
      <c r="M43" s="34"/>
      <c r="N43" s="34"/>
      <c r="R43" s="261" t="s">
        <v>7</v>
      </c>
      <c r="S43" s="262"/>
      <c r="T43" s="262"/>
      <c r="U43" s="263"/>
      <c r="Z43" s="17"/>
      <c r="AA43" s="17"/>
      <c r="AB43" s="343" t="s">
        <v>687</v>
      </c>
      <c r="AC43" s="344"/>
      <c r="AD43" s="344"/>
      <c r="AE43" s="344"/>
      <c r="AF43" s="344"/>
      <c r="AG43" s="344"/>
      <c r="AH43" s="344"/>
      <c r="AI43" s="344"/>
      <c r="AJ43" s="344"/>
      <c r="AK43" s="345"/>
    </row>
    <row r="44" spans="2:61" ht="18.75" customHeight="1" x14ac:dyDescent="0.25">
      <c r="B44" s="78"/>
      <c r="C44" s="78"/>
      <c r="D44" s="78"/>
      <c r="E44" s="78"/>
      <c r="F44" s="78"/>
      <c r="G44" s="78"/>
      <c r="H44" s="78"/>
      <c r="I44" s="78"/>
      <c r="M44" s="34"/>
      <c r="N44" s="34"/>
      <c r="R44" s="79"/>
      <c r="AB44" s="346"/>
      <c r="AC44" s="347"/>
      <c r="AD44" s="347"/>
      <c r="AE44" s="347"/>
      <c r="AF44" s="347"/>
      <c r="AG44" s="347"/>
      <c r="AH44" s="347"/>
      <c r="AI44" s="347"/>
      <c r="AJ44" s="347"/>
      <c r="AK44" s="348"/>
      <c r="BC44" s="32"/>
      <c r="BD44" s="32"/>
      <c r="BE44" s="32"/>
      <c r="BF44" s="32"/>
      <c r="BG44" s="32"/>
      <c r="BH44" s="32"/>
      <c r="BI44" s="32"/>
    </row>
    <row r="45" spans="2:61" ht="18.75" customHeight="1" x14ac:dyDescent="0.25">
      <c r="J45" s="264" t="s">
        <v>397</v>
      </c>
      <c r="K45" s="265"/>
      <c r="L45" s="266"/>
      <c r="M45" s="34"/>
      <c r="N45" s="264" t="s">
        <v>398</v>
      </c>
      <c r="O45" s="265"/>
      <c r="P45" s="266"/>
      <c r="AB45" s="346"/>
      <c r="AC45" s="347"/>
      <c r="AD45" s="347"/>
      <c r="AE45" s="347"/>
      <c r="AF45" s="347"/>
      <c r="AG45" s="347"/>
      <c r="AH45" s="347"/>
      <c r="AI45" s="347"/>
      <c r="AJ45" s="347"/>
      <c r="AK45" s="348"/>
      <c r="AP45" s="17"/>
      <c r="AR45" s="17"/>
      <c r="AS45" s="89"/>
      <c r="AT45" s="17"/>
      <c r="AU45" s="17"/>
      <c r="AV45" s="17"/>
      <c r="AW45" s="17"/>
      <c r="AX45" s="17"/>
      <c r="AY45" s="17"/>
      <c r="AZ45" s="17"/>
      <c r="BA45" s="17"/>
    </row>
    <row r="46" spans="2:61" ht="18.75" customHeight="1" x14ac:dyDescent="0.25">
      <c r="B46" s="2"/>
      <c r="C46" s="2"/>
      <c r="D46" s="2"/>
      <c r="J46" s="267"/>
      <c r="K46" s="268"/>
      <c r="L46" s="269"/>
      <c r="N46" s="267"/>
      <c r="O46" s="268"/>
      <c r="P46" s="269"/>
      <c r="R46" s="23"/>
      <c r="W46" s="23"/>
      <c r="AB46" s="349"/>
      <c r="AC46" s="350"/>
      <c r="AD46" s="350"/>
      <c r="AE46" s="350"/>
      <c r="AF46" s="350"/>
      <c r="AG46" s="350"/>
      <c r="AH46" s="350"/>
      <c r="AI46" s="350"/>
      <c r="AJ46" s="350"/>
      <c r="AK46" s="351"/>
    </row>
    <row r="47" spans="2:61" ht="18.75" customHeight="1" x14ac:dyDescent="0.25">
      <c r="B47" s="258" t="s">
        <v>434</v>
      </c>
      <c r="C47" s="259"/>
      <c r="D47" s="259"/>
      <c r="E47" s="259"/>
      <c r="F47" s="259"/>
      <c r="G47" s="259"/>
      <c r="H47" s="260"/>
      <c r="J47" s="337"/>
      <c r="K47" s="338"/>
      <c r="L47" s="339"/>
      <c r="N47" s="274">
        <f>IF(J47="",0,J47)</f>
        <v>0</v>
      </c>
      <c r="O47" s="275"/>
      <c r="P47" s="276"/>
      <c r="R47" s="270" t="str">
        <f>IFERROR(IF($R$43="No",$R$19/($R$29*$R$27),""),"")</f>
        <v/>
      </c>
      <c r="S47" s="270"/>
      <c r="T47" s="270"/>
      <c r="U47" s="270"/>
      <c r="W47" s="270" t="str">
        <f>IFERROR(IF($R$43="No",$W$19/($W$29*$W$27),""),"")</f>
        <v/>
      </c>
      <c r="X47" s="270"/>
      <c r="Y47" s="270"/>
      <c r="Z47" s="270"/>
      <c r="AO47" s="2"/>
    </row>
    <row r="48" spans="2:61" ht="18.75" customHeight="1" x14ac:dyDescent="0.25">
      <c r="B48" s="258" t="s">
        <v>435</v>
      </c>
      <c r="C48" s="259"/>
      <c r="D48" s="259"/>
      <c r="E48" s="259"/>
      <c r="F48" s="259"/>
      <c r="G48" s="259"/>
      <c r="H48" s="260"/>
      <c r="J48" s="337"/>
      <c r="K48" s="338"/>
      <c r="L48" s="339"/>
      <c r="N48" s="274">
        <f>J48</f>
        <v>0</v>
      </c>
      <c r="O48" s="275"/>
      <c r="P48" s="276"/>
      <c r="R48" s="270" t="str">
        <f>IFERROR(IF(AND($R$29&gt;=2,$R$43="No"), $R$19/($R$29*$R$27), 0),"")</f>
        <v/>
      </c>
      <c r="S48" s="270"/>
      <c r="T48" s="270"/>
      <c r="U48" s="270"/>
      <c r="W48" s="270" t="str">
        <f>IFERROR(IF(AND($W$29&gt;=2,$R$43="No"), $W$19/($W$29*$W$27), 0),"")</f>
        <v/>
      </c>
      <c r="X48" s="270"/>
      <c r="Y48" s="270"/>
      <c r="Z48" s="270"/>
      <c r="AO48" s="2"/>
    </row>
    <row r="49" spans="1:54" ht="18.75" customHeight="1" x14ac:dyDescent="0.25">
      <c r="B49" s="258" t="s">
        <v>436</v>
      </c>
      <c r="C49" s="259"/>
      <c r="D49" s="259"/>
      <c r="E49" s="259"/>
      <c r="F49" s="259"/>
      <c r="G49" s="259"/>
      <c r="H49" s="260"/>
      <c r="J49" s="337"/>
      <c r="K49" s="338"/>
      <c r="L49" s="339"/>
      <c r="N49" s="274">
        <f t="shared" ref="N49" si="1">J49</f>
        <v>0</v>
      </c>
      <c r="O49" s="275"/>
      <c r="P49" s="276"/>
      <c r="R49" s="270" t="str">
        <f>IFERROR(IF(AND($R$29&gt;=3,$R$43="No"), $R$19/($R$29*$R$27), 0),"")</f>
        <v/>
      </c>
      <c r="S49" s="270"/>
      <c r="T49" s="270"/>
      <c r="U49" s="270"/>
      <c r="W49" s="270" t="str">
        <f>IFERROR(IF(AND($W$29&gt;=3,$R$43="No"), $W$19/($W$29*$W$27), 0),"")</f>
        <v/>
      </c>
      <c r="X49" s="270"/>
      <c r="Y49" s="270"/>
      <c r="Z49" s="270"/>
      <c r="AD49" s="10"/>
      <c r="AO49" s="2"/>
    </row>
    <row r="50" spans="1:54" ht="18.75" customHeight="1" x14ac:dyDescent="0.25">
      <c r="B50" s="258" t="s">
        <v>437</v>
      </c>
      <c r="C50" s="259"/>
      <c r="D50" s="259"/>
      <c r="E50" s="259"/>
      <c r="F50" s="259"/>
      <c r="G50" s="259"/>
      <c r="H50" s="260"/>
      <c r="J50" s="274">
        <f>IFERROR(IF(OR(R30=0,R30="--Select--"),0,IF(AND(R29=1,R30=1),J47,IF(MAX($J$47:$L$49)/MIN(J47:L49)&gt;1.15, SQRT($J$47^2+$J$48^2+$J$49^2-$J$47*$J$48-$J$48*$J$49-$J$49*$J$47),$J$47*0.15))),"")</f>
        <v>0</v>
      </c>
      <c r="K50" s="275"/>
      <c r="L50" s="276"/>
      <c r="N50" s="274">
        <f>IFERROR(IF(OR(W30=0,W30="--Select--"),0,IF(AND(W29=1,W30=1),N47,IF(MAX($N$47:$P$49)/MIN(N47:P49)&gt;1.15, SQRT($N$47^2+$N$48^2+$N$49^2-$N$47*$N$48-$N$48*$N$49-$N$49*$N$47),$N$47*0.15))),"")</f>
        <v>0</v>
      </c>
      <c r="O50" s="275"/>
      <c r="P50" s="276"/>
      <c r="R50" s="270">
        <f>IFERROR(IF(OR(R30=0,R30="--Select--",R43="Yes"),0,IF(AND(R29=1,R30=1),R47,0.15*$R$47)),"")</f>
        <v>0</v>
      </c>
      <c r="S50" s="270"/>
      <c r="T50" s="270"/>
      <c r="U50" s="270"/>
      <c r="W50" s="270">
        <f>IFERROR(IF(OR(W30=0,W30="--Select--",R43="Yes"),0,IF(AND(W29=1,W30=1),W47,0.15*$W$47)),"")</f>
        <v>0</v>
      </c>
      <c r="X50" s="270"/>
      <c r="Y50" s="270"/>
      <c r="Z50" s="270"/>
      <c r="AD50" s="17"/>
      <c r="AM50" s="6"/>
      <c r="AO50" s="2"/>
      <c r="BA50" s="17"/>
      <c r="BB50" s="17"/>
    </row>
    <row r="51" spans="1:54" ht="18.75" customHeight="1" x14ac:dyDescent="0.25">
      <c r="B51" s="258" t="s">
        <v>501</v>
      </c>
      <c r="C51" s="259"/>
      <c r="D51" s="259"/>
      <c r="E51" s="259"/>
      <c r="F51" s="259"/>
      <c r="G51" s="259"/>
      <c r="H51" s="260"/>
      <c r="J51" s="290" t="str">
        <f ca="1">IFERROR((J47*R25)^2*R40+(J48*R25)^2*R40+(J49*R25)^2*R40+(J50*R25)^2*R41,"")</f>
        <v/>
      </c>
      <c r="K51" s="291"/>
      <c r="L51" s="292"/>
      <c r="N51" s="290" t="str">
        <f ca="1">IFERROR((N47*W25)^2*W40+(N48*W25)^2*W40+(N49*W25)^2*W40+(N50*W25)^2*W41,"")</f>
        <v/>
      </c>
      <c r="O51" s="291"/>
      <c r="P51" s="292"/>
      <c r="Q51" s="2"/>
      <c r="R51" s="293" t="str">
        <f ca="1">IFERROR((R47*R25)^2*R40+(R48*R25)^2*R40+(R49*R25)^2*R40+(R50*R25)^2*R41,"")</f>
        <v/>
      </c>
      <c r="S51" s="293"/>
      <c r="T51" s="293"/>
      <c r="U51" s="293"/>
      <c r="V51" s="67"/>
      <c r="W51" s="293" t="str">
        <f ca="1">IFERROR(IF(ISBLANK(W47), "",(W47*W25)^2*W40+(W48*W25)^2*W40+(W49*W25)^2*W40+(W50*W25)^2*W41),"")</f>
        <v/>
      </c>
      <c r="X51" s="293"/>
      <c r="Y51" s="293"/>
      <c r="Z51" s="293"/>
      <c r="AC51" s="83"/>
      <c r="AD51" s="17"/>
      <c r="AN51" s="2"/>
      <c r="AO51" s="2"/>
      <c r="BA51" s="17"/>
      <c r="BB51" s="17"/>
    </row>
    <row r="52" spans="1:54" ht="18.75" customHeight="1" x14ac:dyDescent="0.25">
      <c r="B52" s="34"/>
      <c r="C52" s="34"/>
      <c r="D52" s="34"/>
      <c r="E52" s="34"/>
      <c r="F52" s="34"/>
      <c r="G52" s="34"/>
      <c r="H52" s="34"/>
      <c r="AD52" s="141" t="s">
        <v>463</v>
      </c>
      <c r="AE52" s="141"/>
      <c r="AF52" s="141" t="s">
        <v>463</v>
      </c>
      <c r="AG52" s="141"/>
      <c r="AH52" s="144" t="s">
        <v>464</v>
      </c>
      <c r="AI52" s="33"/>
      <c r="AJ52" s="33"/>
      <c r="AN52" s="2"/>
      <c r="AO52" s="2"/>
      <c r="AZ52" s="17"/>
      <c r="BA52" s="17"/>
      <c r="BB52" s="17"/>
    </row>
    <row r="53" spans="1:54" ht="18.75" customHeight="1" x14ac:dyDescent="0.35">
      <c r="A53" s="10"/>
      <c r="B53" s="2"/>
      <c r="C53" s="2"/>
      <c r="D53" s="2"/>
      <c r="J53" s="271" t="str">
        <f>IFERROR(IF(ABS((J47*R27+J48*R27+J49*R27)-R19)/R19&gt;0.1,"ERROR",""),"")</f>
        <v/>
      </c>
      <c r="K53" s="272"/>
      <c r="L53" s="273"/>
      <c r="N53" s="271" t="str">
        <f>IFERROR(IF(ABS((N47*R27+N48*R27+N49*R27)-R19)/R19&gt;0.1,"ERROR",""),"")</f>
        <v/>
      </c>
      <c r="O53" s="272"/>
      <c r="P53" s="273"/>
      <c r="R53" s="334" t="str">
        <f>IF($R$43="Yes",IF(OR(J53="ERROR",N53="ERROR"),"*Currents do not equal kVA value*",IF(AH53=FALSE,"*Current sums do not match*","")),"")</f>
        <v/>
      </c>
      <c r="S53" s="335"/>
      <c r="T53" s="335"/>
      <c r="U53" s="335"/>
      <c r="V53" s="335"/>
      <c r="W53" s="335"/>
      <c r="X53" s="335"/>
      <c r="Y53" s="335"/>
      <c r="Z53" s="335"/>
      <c r="AC53" s="10"/>
      <c r="AD53" s="142">
        <f>SUM(J47:L49)</f>
        <v>0</v>
      </c>
      <c r="AE53" s="143"/>
      <c r="AF53" s="142">
        <f>SUM(N47:P49)</f>
        <v>0</v>
      </c>
      <c r="AG53" s="141"/>
      <c r="AH53" s="144" t="b">
        <f>AD53=AF53</f>
        <v>1</v>
      </c>
      <c r="AI53" s="33"/>
      <c r="AJ53" s="33"/>
      <c r="AZ53" s="17"/>
      <c r="BA53" s="17"/>
    </row>
    <row r="54" spans="1:54" ht="18.75" customHeight="1" x14ac:dyDescent="0.25">
      <c r="B54" s="2"/>
      <c r="C54" s="2"/>
      <c r="D54" s="2"/>
      <c r="W54" s="59"/>
      <c r="AZ54" s="17"/>
      <c r="BA54" s="17"/>
      <c r="BB54" s="17"/>
    </row>
    <row r="55" spans="1:54" ht="18.75" customHeight="1" x14ac:dyDescent="0.25">
      <c r="B55" s="295" t="s">
        <v>441</v>
      </c>
      <c r="C55" s="295"/>
      <c r="D55" s="295"/>
      <c r="E55" s="295"/>
      <c r="F55" s="295"/>
      <c r="G55" s="295"/>
      <c r="H55" s="295"/>
      <c r="I55" s="295"/>
      <c r="J55" s="295"/>
      <c r="K55" s="295"/>
      <c r="L55" s="295"/>
      <c r="M55" s="295"/>
      <c r="N55" s="295"/>
      <c r="O55" s="295"/>
      <c r="P55" s="295"/>
      <c r="Q55" s="2"/>
      <c r="R55" s="293" t="str">
        <f ca="1">IFERROR(IF(R43="No",$R$24*8760*$R$51/1000,$R$24*8760*$J$51/1000),"")</f>
        <v/>
      </c>
      <c r="S55" s="293"/>
      <c r="T55" s="293"/>
      <c r="U55" s="293"/>
      <c r="V55" s="67"/>
      <c r="W55" s="293" t="str">
        <f ca="1">IFERROR(IF(R43="No",$W$24*8760*$W$51/1000, $W$24*8760*$N$51/1000),"")</f>
        <v/>
      </c>
      <c r="X55" s="293"/>
      <c r="Y55" s="293"/>
      <c r="Z55" s="293"/>
    </row>
    <row r="56" spans="1:54" ht="18.75" customHeight="1" thickBot="1" x14ac:dyDescent="0.3">
      <c r="B56" s="2"/>
      <c r="C56" s="2"/>
      <c r="D56" s="2"/>
      <c r="Q56" s="2"/>
      <c r="S56" s="2"/>
      <c r="V56" s="2"/>
      <c r="AZ56" s="17"/>
      <c r="BA56" s="17"/>
      <c r="BB56" s="17"/>
    </row>
    <row r="57" spans="1:54" ht="18.75" customHeight="1" thickBot="1" x14ac:dyDescent="0.3">
      <c r="B57" s="280" t="s">
        <v>485</v>
      </c>
      <c r="C57" s="281"/>
      <c r="D57" s="281"/>
      <c r="E57" s="281"/>
      <c r="F57" s="281"/>
      <c r="G57" s="281"/>
      <c r="H57" s="281"/>
      <c r="I57" s="281"/>
      <c r="J57" s="281"/>
      <c r="K57" s="281"/>
      <c r="L57" s="281"/>
      <c r="M57" s="281"/>
      <c r="N57" s="281"/>
      <c r="O57" s="281"/>
      <c r="P57" s="282"/>
      <c r="R57" s="283" t="str">
        <f ca="1">IFERROR($R$55-$W$55,"")</f>
        <v/>
      </c>
      <c r="S57" s="284"/>
      <c r="T57" s="284"/>
      <c r="U57" s="284"/>
      <c r="V57" s="284"/>
      <c r="W57" s="284"/>
      <c r="X57" s="284"/>
      <c r="Y57" s="284"/>
      <c r="Z57" s="285"/>
      <c r="AB57" s="373" t="s">
        <v>487</v>
      </c>
      <c r="AC57" s="374"/>
      <c r="AD57" s="374"/>
      <c r="AE57" s="375"/>
    </row>
    <row r="58" spans="1:54" ht="18.75" customHeight="1" thickBot="1" x14ac:dyDescent="0.3">
      <c r="B58" s="280" t="s">
        <v>486</v>
      </c>
      <c r="C58" s="281"/>
      <c r="D58" s="281"/>
      <c r="E58" s="281"/>
      <c r="F58" s="281"/>
      <c r="G58" s="281"/>
      <c r="H58" s="281"/>
      <c r="I58" s="281"/>
      <c r="J58" s="281"/>
      <c r="K58" s="281"/>
      <c r="L58" s="281"/>
      <c r="M58" s="281"/>
      <c r="N58" s="281"/>
      <c r="O58" s="281"/>
      <c r="P58" s="282"/>
      <c r="R58" s="283" t="str">
        <f ca="1">IFERROR($R$57*AB58,"")</f>
        <v/>
      </c>
      <c r="S58" s="284"/>
      <c r="T58" s="284"/>
      <c r="U58" s="284"/>
      <c r="V58" s="284"/>
      <c r="W58" s="284"/>
      <c r="X58" s="284"/>
      <c r="Y58" s="284"/>
      <c r="Z58" s="285"/>
      <c r="AB58" s="376">
        <v>1.09056</v>
      </c>
      <c r="AC58" s="377"/>
      <c r="AD58" s="377"/>
      <c r="AE58" s="378"/>
    </row>
    <row r="59" spans="1:54" ht="18.75" customHeight="1" thickBot="1" x14ac:dyDescent="0.3">
      <c r="AB59" s="2"/>
    </row>
    <row r="60" spans="1:54" ht="18.75" customHeight="1" thickBot="1" x14ac:dyDescent="0.3">
      <c r="B60" s="287" t="s">
        <v>539</v>
      </c>
      <c r="C60" s="288"/>
      <c r="D60" s="288"/>
      <c r="E60" s="288"/>
      <c r="F60" s="288"/>
      <c r="G60" s="288"/>
      <c r="H60" s="288"/>
      <c r="I60" s="288"/>
      <c r="J60" s="288"/>
      <c r="K60" s="288"/>
      <c r="L60" s="288"/>
      <c r="M60" s="288"/>
      <c r="N60" s="288"/>
      <c r="O60" s="288"/>
      <c r="P60" s="289"/>
      <c r="R60" s="252"/>
      <c r="S60" s="253"/>
      <c r="T60" s="253"/>
      <c r="U60" s="253"/>
      <c r="V60" s="253"/>
      <c r="W60" s="253"/>
      <c r="X60" s="253"/>
      <c r="Y60" s="253"/>
      <c r="Z60" s="254"/>
    </row>
    <row r="61" spans="1:54" ht="18.75" customHeight="1" x14ac:dyDescent="0.25">
      <c r="AF61" s="17"/>
    </row>
    <row r="62" spans="1:54" ht="18.75" customHeight="1" x14ac:dyDescent="0.25">
      <c r="B62" s="81" t="s">
        <v>32</v>
      </c>
      <c r="C62" s="17"/>
      <c r="D62" s="17"/>
      <c r="E62" s="17"/>
      <c r="F62" s="17"/>
      <c r="G62" s="17"/>
      <c r="H62" s="17"/>
      <c r="I62" s="17"/>
      <c r="J62" s="17"/>
      <c r="K62" s="17"/>
      <c r="L62" s="5"/>
      <c r="M62" s="5"/>
      <c r="N62" s="5"/>
      <c r="O62" s="5"/>
      <c r="P62" s="5"/>
      <c r="Q62" s="5"/>
      <c r="R62" s="5"/>
      <c r="S62" s="5"/>
      <c r="T62" s="5"/>
      <c r="U62" s="5"/>
      <c r="V62" s="5"/>
    </row>
    <row r="63" spans="1:54" ht="18.75" customHeight="1" thickBot="1" x14ac:dyDescent="0.3">
      <c r="B63" s="69" t="s">
        <v>479</v>
      </c>
      <c r="C63" s="70"/>
      <c r="D63" s="70"/>
      <c r="E63" s="70"/>
      <c r="F63" s="70"/>
      <c r="G63" s="70"/>
      <c r="H63" s="70"/>
      <c r="I63" s="70"/>
      <c r="J63" s="70"/>
      <c r="K63" s="70"/>
      <c r="L63" s="70"/>
      <c r="M63" s="70"/>
      <c r="N63" s="74"/>
      <c r="O63" s="70"/>
      <c r="P63" s="70"/>
      <c r="Q63" s="70"/>
      <c r="R63" s="70"/>
      <c r="S63" s="248" t="s">
        <v>476</v>
      </c>
      <c r="T63" s="248"/>
      <c r="U63" s="248"/>
      <c r="V63" s="249"/>
    </row>
    <row r="64" spans="1:54" ht="18.75" customHeight="1" x14ac:dyDescent="0.25">
      <c r="B64" s="71" t="s">
        <v>475</v>
      </c>
      <c r="C64" s="72"/>
      <c r="D64" s="72"/>
      <c r="E64" s="72"/>
      <c r="F64" s="72"/>
      <c r="G64" s="72"/>
      <c r="H64" s="72"/>
      <c r="I64" s="72"/>
      <c r="J64" s="72"/>
      <c r="K64" s="72"/>
      <c r="L64" s="72"/>
      <c r="M64" s="72"/>
      <c r="N64" s="72"/>
      <c r="O64" s="72"/>
      <c r="P64" s="72"/>
      <c r="Q64" s="72"/>
      <c r="R64" s="72"/>
      <c r="S64" s="250"/>
      <c r="T64" s="250"/>
      <c r="U64" s="250"/>
      <c r="V64" s="251"/>
    </row>
    <row r="65" spans="1:56" ht="18.75" customHeight="1" x14ac:dyDescent="0.25">
      <c r="B65" s="71" t="s">
        <v>477</v>
      </c>
      <c r="C65" s="72"/>
      <c r="D65" s="72"/>
      <c r="E65" s="72"/>
      <c r="F65" s="72"/>
      <c r="G65" s="72"/>
      <c r="H65" s="72"/>
      <c r="I65" s="72"/>
      <c r="J65" s="72"/>
      <c r="K65" s="72"/>
      <c r="L65" s="72"/>
      <c r="M65" s="72"/>
      <c r="N65" s="72"/>
      <c r="O65" s="72"/>
      <c r="P65" s="72"/>
      <c r="Q65" s="72"/>
      <c r="R65" s="72"/>
      <c r="S65" s="250"/>
      <c r="T65" s="250"/>
      <c r="U65" s="250"/>
      <c r="V65" s="251"/>
      <c r="X65" s="17"/>
      <c r="BD65" s="32"/>
    </row>
    <row r="66" spans="1:56" ht="18.75" customHeight="1" thickBot="1" x14ac:dyDescent="0.3">
      <c r="B66" s="71" t="s">
        <v>473</v>
      </c>
      <c r="C66" s="72"/>
      <c r="D66" s="72"/>
      <c r="E66" s="72"/>
      <c r="F66" s="72"/>
      <c r="G66" s="72"/>
      <c r="H66" s="72"/>
      <c r="I66" s="72"/>
      <c r="J66" s="72"/>
      <c r="K66" s="72"/>
      <c r="L66" s="72"/>
      <c r="M66" s="72"/>
      <c r="N66" s="72"/>
      <c r="O66" s="72"/>
      <c r="P66" s="72"/>
      <c r="Q66" s="72"/>
      <c r="R66" s="72"/>
      <c r="S66" s="250"/>
      <c r="T66" s="250"/>
      <c r="U66" s="250"/>
      <c r="V66" s="251"/>
      <c r="X66" s="32"/>
    </row>
    <row r="67" spans="1:56" ht="18.75" customHeight="1" thickBot="1" x14ac:dyDescent="0.3">
      <c r="B67" s="73" t="s">
        <v>478</v>
      </c>
      <c r="C67" s="72"/>
      <c r="D67" s="72"/>
      <c r="E67" s="72"/>
      <c r="F67" s="72"/>
      <c r="G67" s="72"/>
      <c r="H67" s="72"/>
      <c r="I67" s="72"/>
      <c r="J67" s="72"/>
      <c r="K67" s="72"/>
      <c r="L67" s="72"/>
      <c r="M67" s="72"/>
      <c r="N67" s="72"/>
      <c r="O67" s="72"/>
      <c r="P67" s="72"/>
      <c r="Q67" s="72"/>
      <c r="R67" s="72"/>
      <c r="S67" s="250"/>
      <c r="T67" s="250"/>
      <c r="U67" s="250"/>
      <c r="V67" s="251"/>
      <c r="X67" s="63"/>
      <c r="AC67" s="63"/>
      <c r="AH67" s="63"/>
      <c r="AM67" s="63"/>
    </row>
    <row r="68" spans="1:56" ht="18.75" customHeight="1" x14ac:dyDescent="0.25">
      <c r="B68" s="71" t="s">
        <v>474</v>
      </c>
      <c r="C68" s="72"/>
      <c r="D68" s="72"/>
      <c r="E68" s="72"/>
      <c r="F68" s="72"/>
      <c r="G68" s="72"/>
      <c r="H68" s="72"/>
      <c r="I68" s="72"/>
      <c r="J68" s="72"/>
      <c r="K68" s="72"/>
      <c r="L68" s="72"/>
      <c r="M68" s="72"/>
      <c r="N68" s="72"/>
      <c r="O68" s="72"/>
      <c r="P68" s="72"/>
      <c r="Q68" s="72"/>
      <c r="R68" s="72"/>
      <c r="S68" s="250"/>
      <c r="T68" s="250"/>
      <c r="U68" s="250"/>
      <c r="V68" s="251"/>
    </row>
    <row r="69" spans="1:56" ht="18.75" customHeight="1" x14ac:dyDescent="0.25">
      <c r="B69" s="71" t="s">
        <v>488</v>
      </c>
      <c r="C69" s="72"/>
      <c r="D69" s="72"/>
      <c r="E69" s="72"/>
      <c r="F69" s="72"/>
      <c r="G69" s="72"/>
      <c r="H69" s="72"/>
      <c r="I69" s="72"/>
      <c r="J69" s="72"/>
      <c r="K69" s="72"/>
      <c r="L69" s="72"/>
      <c r="M69" s="72"/>
      <c r="N69" s="72"/>
      <c r="O69" s="72"/>
      <c r="P69" s="72"/>
      <c r="Q69" s="72"/>
      <c r="R69" s="72"/>
      <c r="S69" s="250"/>
      <c r="T69" s="250"/>
      <c r="U69" s="250"/>
      <c r="V69" s="251"/>
    </row>
    <row r="70" spans="1:56" ht="18.75" customHeight="1" x14ac:dyDescent="0.25">
      <c r="B70" s="73" t="s">
        <v>489</v>
      </c>
      <c r="C70" s="72"/>
      <c r="D70" s="72"/>
      <c r="E70" s="72"/>
      <c r="F70" s="72"/>
      <c r="G70" s="72"/>
      <c r="H70" s="72"/>
      <c r="I70" s="72"/>
      <c r="J70" s="72"/>
      <c r="K70" s="72"/>
      <c r="L70" s="72"/>
      <c r="M70" s="72"/>
      <c r="N70" s="72"/>
      <c r="O70" s="72"/>
      <c r="P70" s="72"/>
      <c r="Q70" s="72"/>
      <c r="R70" s="72"/>
      <c r="S70" s="250"/>
      <c r="T70" s="250"/>
      <c r="U70" s="250"/>
      <c r="V70" s="251"/>
    </row>
    <row r="71" spans="1:56" ht="18.75" customHeight="1" x14ac:dyDescent="0.25">
      <c r="B71" s="75" t="s">
        <v>490</v>
      </c>
      <c r="C71" s="62"/>
      <c r="D71" s="62"/>
      <c r="E71" s="62"/>
      <c r="F71" s="62"/>
      <c r="G71" s="62"/>
      <c r="H71" s="62"/>
      <c r="I71" s="62"/>
      <c r="J71" s="62"/>
      <c r="K71" s="62"/>
      <c r="L71" s="62"/>
      <c r="M71" s="62"/>
      <c r="N71" s="62"/>
      <c r="O71" s="62"/>
      <c r="P71" s="62"/>
      <c r="Q71" s="62"/>
      <c r="R71" s="62"/>
      <c r="S71" s="62"/>
      <c r="T71" s="62"/>
      <c r="U71" s="62"/>
      <c r="V71" s="76"/>
    </row>
    <row r="72" spans="1:56" ht="18.75" customHeight="1" thickBot="1" x14ac:dyDescent="0.3">
      <c r="B72" s="146" t="s">
        <v>689</v>
      </c>
      <c r="W72" s="32"/>
      <c r="X72" s="32"/>
      <c r="Y72" s="32"/>
      <c r="Z72" s="32"/>
      <c r="AA72" s="32"/>
      <c r="AB72" s="32"/>
      <c r="AC72" s="32"/>
      <c r="AD72" s="32"/>
      <c r="AE72" s="32"/>
      <c r="AF72" s="32"/>
      <c r="AG72" s="32"/>
      <c r="AH72" s="32"/>
      <c r="AI72" s="32"/>
      <c r="AJ72" s="32"/>
      <c r="AK72" s="32"/>
      <c r="AL72" s="32"/>
    </row>
    <row r="73" spans="1:56" ht="18.75" customHeight="1" thickBot="1" x14ac:dyDescent="0.3">
      <c r="B73" s="280" t="s">
        <v>410</v>
      </c>
      <c r="C73" s="281"/>
      <c r="D73" s="281"/>
      <c r="E73" s="281"/>
      <c r="F73" s="281"/>
      <c r="G73" s="281"/>
      <c r="H73" s="281"/>
      <c r="I73" s="281"/>
      <c r="J73" s="281"/>
      <c r="K73" s="281"/>
      <c r="L73" s="281"/>
      <c r="M73" s="281"/>
      <c r="N73" s="281"/>
      <c r="O73" s="281"/>
      <c r="P73" s="282"/>
      <c r="R73" s="277" t="str">
        <f ca="1">IFERROR(IF(R58*J10&lt;(0.7*$R$60),R58*J10,0.7*$R$60),"")</f>
        <v/>
      </c>
      <c r="S73" s="278"/>
      <c r="T73" s="278"/>
      <c r="U73" s="278"/>
      <c r="V73" s="278"/>
      <c r="W73" s="278"/>
      <c r="X73" s="278"/>
      <c r="Y73" s="278"/>
      <c r="Z73" s="279"/>
      <c r="AA73" s="32"/>
      <c r="AB73" s="32"/>
      <c r="AC73" s="32"/>
      <c r="AD73" s="32"/>
      <c r="AE73" s="32"/>
      <c r="AF73" s="32"/>
      <c r="AG73" s="32"/>
      <c r="AH73" s="32"/>
      <c r="AI73" s="32"/>
      <c r="AJ73" s="32"/>
      <c r="AK73" s="32"/>
      <c r="AL73" s="32"/>
    </row>
    <row r="74" spans="1:56" ht="18.75" customHeight="1" thickBot="1" x14ac:dyDescent="0.3">
      <c r="B74" s="280" t="s">
        <v>411</v>
      </c>
      <c r="C74" s="281"/>
      <c r="D74" s="281"/>
      <c r="E74" s="281"/>
      <c r="F74" s="281"/>
      <c r="G74" s="281"/>
      <c r="H74" s="281"/>
      <c r="I74" s="281"/>
      <c r="J74" s="281"/>
      <c r="K74" s="281"/>
      <c r="L74" s="281"/>
      <c r="M74" s="281"/>
      <c r="N74" s="281"/>
      <c r="O74" s="281"/>
      <c r="P74" s="282"/>
      <c r="R74" s="277" t="str">
        <f ca="1">IFERROR(R73*Summary!$M$18,"")</f>
        <v/>
      </c>
      <c r="S74" s="278"/>
      <c r="T74" s="278"/>
      <c r="U74" s="278"/>
      <c r="V74" s="278"/>
      <c r="W74" s="278"/>
      <c r="X74" s="278"/>
      <c r="Y74" s="278"/>
      <c r="Z74" s="279"/>
      <c r="AO74" s="17"/>
    </row>
    <row r="75" spans="1:56" ht="18.75" customHeight="1" thickBot="1" x14ac:dyDescent="0.3">
      <c r="B75" s="280" t="s">
        <v>412</v>
      </c>
      <c r="C75" s="281"/>
      <c r="D75" s="281"/>
      <c r="E75" s="281"/>
      <c r="F75" s="281"/>
      <c r="G75" s="281"/>
      <c r="H75" s="281"/>
      <c r="I75" s="281"/>
      <c r="J75" s="281"/>
      <c r="K75" s="281"/>
      <c r="L75" s="281"/>
      <c r="M75" s="281"/>
      <c r="N75" s="281"/>
      <c r="O75" s="281"/>
      <c r="P75" s="282"/>
      <c r="R75" s="277" t="str">
        <f ca="1">IFERROR(R73*Summary!$M$19,"")</f>
        <v/>
      </c>
      <c r="S75" s="278"/>
      <c r="T75" s="278"/>
      <c r="U75" s="278"/>
      <c r="V75" s="278"/>
      <c r="W75" s="278"/>
      <c r="X75" s="278"/>
      <c r="Y75" s="278"/>
      <c r="Z75" s="279"/>
      <c r="AQ75" s="17"/>
    </row>
    <row r="76" spans="1:56" ht="18.75" customHeight="1" x14ac:dyDescent="0.25">
      <c r="AQ76" s="17"/>
    </row>
    <row r="77" spans="1:56" ht="18.75" customHeight="1" x14ac:dyDescent="0.25">
      <c r="A77" s="68" t="s">
        <v>484</v>
      </c>
    </row>
  </sheetData>
  <sheetProtection password="BD7D" sheet="1" scenarios="1"/>
  <mergeCells count="135">
    <mergeCell ref="AB19:AK21"/>
    <mergeCell ref="AB23:AK27"/>
    <mergeCell ref="AB43:AK46"/>
    <mergeCell ref="B6:G6"/>
    <mergeCell ref="B7:G7"/>
    <mergeCell ref="B8:G8"/>
    <mergeCell ref="R14:U15"/>
    <mergeCell ref="W14:Z15"/>
    <mergeCell ref="B15:P15"/>
    <mergeCell ref="B17:P17"/>
    <mergeCell ref="R17:U17"/>
    <mergeCell ref="W17:Z17"/>
    <mergeCell ref="B16:P16"/>
    <mergeCell ref="R16:U16"/>
    <mergeCell ref="W16:Z16"/>
    <mergeCell ref="B20:P20"/>
    <mergeCell ref="R20:U20"/>
    <mergeCell ref="W20:Z20"/>
    <mergeCell ref="B21:P21"/>
    <mergeCell ref="R21:U21"/>
    <mergeCell ref="W21:Z21"/>
    <mergeCell ref="B18:P18"/>
    <mergeCell ref="R18:U18"/>
    <mergeCell ref="W18:Z18"/>
    <mergeCell ref="AB2:AH2"/>
    <mergeCell ref="AB3:AH3"/>
    <mergeCell ref="AB4:AH4"/>
    <mergeCell ref="B4:G4"/>
    <mergeCell ref="B5:G5"/>
    <mergeCell ref="B12:U12"/>
    <mergeCell ref="W12:Z12"/>
    <mergeCell ref="B10:I10"/>
    <mergeCell ref="H4:Z4"/>
    <mergeCell ref="H5:Z5"/>
    <mergeCell ref="H6:Z6"/>
    <mergeCell ref="H7:Z7"/>
    <mergeCell ref="H8:Z8"/>
    <mergeCell ref="J10:Z10"/>
    <mergeCell ref="B19:P19"/>
    <mergeCell ref="R19:U19"/>
    <mergeCell ref="W19:Z19"/>
    <mergeCell ref="B25:P25"/>
    <mergeCell ref="R25:U25"/>
    <mergeCell ref="W25:Z25"/>
    <mergeCell ref="B23:P23"/>
    <mergeCell ref="R23:U23"/>
    <mergeCell ref="W23:Z23"/>
    <mergeCell ref="B24:P24"/>
    <mergeCell ref="R24:U24"/>
    <mergeCell ref="W24:Z24"/>
    <mergeCell ref="B30:P30"/>
    <mergeCell ref="R30:U30"/>
    <mergeCell ref="W30:Z30"/>
    <mergeCell ref="B31:P31"/>
    <mergeCell ref="R31:U31"/>
    <mergeCell ref="B32:P32"/>
    <mergeCell ref="R32:U32"/>
    <mergeCell ref="W32:Z32"/>
    <mergeCell ref="B27:P27"/>
    <mergeCell ref="R27:U27"/>
    <mergeCell ref="W27:Z27"/>
    <mergeCell ref="B29:P29"/>
    <mergeCell ref="R29:U29"/>
    <mergeCell ref="W29:Z29"/>
    <mergeCell ref="B36:P36"/>
    <mergeCell ref="R36:U36"/>
    <mergeCell ref="W36:Z36"/>
    <mergeCell ref="B37:P37"/>
    <mergeCell ref="R37:U37"/>
    <mergeCell ref="W37:Z37"/>
    <mergeCell ref="B33:P33"/>
    <mergeCell ref="R33:U33"/>
    <mergeCell ref="W33:Z33"/>
    <mergeCell ref="B34:P34"/>
    <mergeCell ref="R34:U34"/>
    <mergeCell ref="W34:Z34"/>
    <mergeCell ref="B41:P41"/>
    <mergeCell ref="R41:U41"/>
    <mergeCell ref="W41:Z41"/>
    <mergeCell ref="B43:L43"/>
    <mergeCell ref="R43:U43"/>
    <mergeCell ref="J45:L46"/>
    <mergeCell ref="N45:P46"/>
    <mergeCell ref="B38:P38"/>
    <mergeCell ref="R38:U38"/>
    <mergeCell ref="W38:Z38"/>
    <mergeCell ref="B40:P40"/>
    <mergeCell ref="R40:U40"/>
    <mergeCell ref="W40:Z40"/>
    <mergeCell ref="B48:H48"/>
    <mergeCell ref="J48:L48"/>
    <mergeCell ref="N48:P48"/>
    <mergeCell ref="R48:U48"/>
    <mergeCell ref="W48:Z48"/>
    <mergeCell ref="B47:H47"/>
    <mergeCell ref="J47:L47"/>
    <mergeCell ref="N47:P47"/>
    <mergeCell ref="R47:U47"/>
    <mergeCell ref="W47:Z47"/>
    <mergeCell ref="B49:H49"/>
    <mergeCell ref="J49:L49"/>
    <mergeCell ref="N49:P49"/>
    <mergeCell ref="R49:U49"/>
    <mergeCell ref="W49:Z49"/>
    <mergeCell ref="B50:H50"/>
    <mergeCell ref="J50:L50"/>
    <mergeCell ref="N50:P50"/>
    <mergeCell ref="R50:U50"/>
    <mergeCell ref="W50:Z50"/>
    <mergeCell ref="B55:P55"/>
    <mergeCell ref="R55:U55"/>
    <mergeCell ref="W55:Z55"/>
    <mergeCell ref="B57:P57"/>
    <mergeCell ref="R57:Z57"/>
    <mergeCell ref="AB57:AE57"/>
    <mergeCell ref="B51:H51"/>
    <mergeCell ref="J51:L51"/>
    <mergeCell ref="N51:P51"/>
    <mergeCell ref="R51:U51"/>
    <mergeCell ref="W51:Z51"/>
    <mergeCell ref="J53:L53"/>
    <mergeCell ref="N53:P53"/>
    <mergeCell ref="R53:Z53"/>
    <mergeCell ref="B75:P75"/>
    <mergeCell ref="R75:Z75"/>
    <mergeCell ref="S63:V70"/>
    <mergeCell ref="B58:P58"/>
    <mergeCell ref="R58:Z58"/>
    <mergeCell ref="AB58:AE58"/>
    <mergeCell ref="B73:P73"/>
    <mergeCell ref="R73:Z73"/>
    <mergeCell ref="B74:P74"/>
    <mergeCell ref="R74:Z74"/>
    <mergeCell ref="R60:Z60"/>
    <mergeCell ref="B60:P60"/>
  </mergeCells>
  <conditionalFormatting sqref="W12:Z12 R60 H5:H8">
    <cfRule type="expression" dxfId="181" priority="62">
      <formula>IF(OR(H5="--Select--",ISBLANK(H5)),TRUE,FALSE)</formula>
    </cfRule>
  </conditionalFormatting>
  <conditionalFormatting sqref="R20:U20 R18:U18">
    <cfRule type="expression" dxfId="180" priority="61">
      <formula>IF(OR(R18="--Select--",ISBLANK(R18)),TRUE,FALSE)</formula>
    </cfRule>
  </conditionalFormatting>
  <conditionalFormatting sqref="R27:U27">
    <cfRule type="expression" dxfId="179" priority="60">
      <formula>IF(OR(R27="--Select--",ISBLANK(R27)),TRUE,FALSE)</formula>
    </cfRule>
  </conditionalFormatting>
  <conditionalFormatting sqref="R29:U30">
    <cfRule type="expression" dxfId="178" priority="59">
      <formula>IF(OR(R29="--Select--",ISBLANK(R29)),TRUE,FALSE)</formula>
    </cfRule>
  </conditionalFormatting>
  <conditionalFormatting sqref="R32:U32">
    <cfRule type="expression" dxfId="177" priority="58">
      <formula>IF(OR(R32="--Select--",ISBLANK(R32)),TRUE,FALSE)</formula>
    </cfRule>
  </conditionalFormatting>
  <conditionalFormatting sqref="R36:U36">
    <cfRule type="expression" dxfId="176" priority="57">
      <formula>IF(OR(R36="--Select--",ISBLANK(R36)),TRUE,FALSE)</formula>
    </cfRule>
  </conditionalFormatting>
  <conditionalFormatting sqref="R37:U37">
    <cfRule type="expression" dxfId="175" priority="55">
      <formula>IF(R36="--Select--",TRUE,FALSE)</formula>
    </cfRule>
    <cfRule type="expression" dxfId="174" priority="56">
      <formula>IF(OR(R37="--Select--",ISBLANK(R36)),TRUE,FALSE)</formula>
    </cfRule>
  </conditionalFormatting>
  <conditionalFormatting sqref="W27:Z27">
    <cfRule type="expression" dxfId="173" priority="54">
      <formula>IF(OR(W27="--Select--",ISBLANK(W27)),TRUE,FALSE)</formula>
    </cfRule>
  </conditionalFormatting>
  <conditionalFormatting sqref="W29:Z30">
    <cfRule type="expression" dxfId="172" priority="53">
      <formula>IF(OR(W29="--Select--",ISBLANK(W29)),TRUE,FALSE)</formula>
    </cfRule>
  </conditionalFormatting>
  <conditionalFormatting sqref="W32:Z32">
    <cfRule type="expression" dxfId="171" priority="52">
      <formula>IF(OR(W32="--Select--",ISBLANK(W32)),TRUE,FALSE)</formula>
    </cfRule>
  </conditionalFormatting>
  <conditionalFormatting sqref="W36:Z36">
    <cfRule type="expression" dxfId="170" priority="51">
      <formula>IF(OR(W36="--Select--",ISBLANK(W36)),TRUE,FALSE)</formula>
    </cfRule>
  </conditionalFormatting>
  <conditionalFormatting sqref="W33:Z33">
    <cfRule type="expression" dxfId="169" priority="49">
      <formula>IF(W32="--Select--",TRUE,FALSE)</formula>
    </cfRule>
    <cfRule type="expression" dxfId="168" priority="50">
      <formula>IF(OR(W33="--Select--",ISBLANK(W32)),TRUE,FALSE)</formula>
    </cfRule>
  </conditionalFormatting>
  <conditionalFormatting sqref="W37:Z37">
    <cfRule type="expression" dxfId="167" priority="47">
      <formula>IF(W36="--Select--",TRUE,FALSE)</formula>
    </cfRule>
    <cfRule type="expression" dxfId="166" priority="48">
      <formula>IF(OR(W37="--Select--",ISBLANK(W36)),TRUE,FALSE)</formula>
    </cfRule>
  </conditionalFormatting>
  <conditionalFormatting sqref="H4">
    <cfRule type="expression" dxfId="165" priority="46">
      <formula>IF(OR(H4="--Select--",ISBLANK(H4)),TRUE,FALSE)</formula>
    </cfRule>
  </conditionalFormatting>
  <conditionalFormatting sqref="J47">
    <cfRule type="expression" dxfId="164" priority="749">
      <formula>IF(ISBLANK(J47),TRUE,FALSE)</formula>
    </cfRule>
  </conditionalFormatting>
  <conditionalFormatting sqref="J48">
    <cfRule type="expression" dxfId="163" priority="63">
      <formula>IF(ISBLANK(J48),TRUE,FALSE)</formula>
    </cfRule>
  </conditionalFormatting>
  <conditionalFormatting sqref="J49">
    <cfRule type="expression" dxfId="162" priority="45">
      <formula>IF(ISBLANK(J49),TRUE,FALSE)</formula>
    </cfRule>
  </conditionalFormatting>
  <conditionalFormatting sqref="J50">
    <cfRule type="expression" dxfId="161" priority="44">
      <formula>IF(ISBLANK(J50),TRUE,FALSE)</formula>
    </cfRule>
  </conditionalFormatting>
  <conditionalFormatting sqref="N47:N50">
    <cfRule type="expression" dxfId="160" priority="42">
      <formula>IF(ISBLANK(N47),TRUE,FALSE)</formula>
    </cfRule>
  </conditionalFormatting>
  <conditionalFormatting sqref="N48:N50">
    <cfRule type="expression" dxfId="159" priority="41">
      <formula>IF(ISBLANK(N48),TRUE,FALSE)</formula>
    </cfRule>
  </conditionalFormatting>
  <conditionalFormatting sqref="N49">
    <cfRule type="expression" dxfId="158" priority="40">
      <formula>IF(ISBLANK(N49),TRUE,FALSE)</formula>
    </cfRule>
  </conditionalFormatting>
  <conditionalFormatting sqref="N50">
    <cfRule type="expression" dxfId="157" priority="39">
      <formula>IF(ISBLANK(N50),TRUE,FALSE)</formula>
    </cfRule>
  </conditionalFormatting>
  <conditionalFormatting sqref="J10">
    <cfRule type="expression" dxfId="156" priority="37">
      <formula>IF(OR(J10="--Select--",ISBLANK(J10)),TRUE,FALSE)</formula>
    </cfRule>
  </conditionalFormatting>
  <conditionalFormatting sqref="R33:U33">
    <cfRule type="expression" dxfId="155" priority="35">
      <formula>IF(R32="--Select--",TRUE,FALSE)</formula>
    </cfRule>
    <cfRule type="expression" dxfId="154" priority="36">
      <formula>IF(OR(R33="--Select--",ISBLANK(R32)),TRUE,FALSE)</formula>
    </cfRule>
  </conditionalFormatting>
  <conditionalFormatting sqref="R23:U23">
    <cfRule type="expression" dxfId="153" priority="32">
      <formula>IF(OR(R23="--Select--",ISBLANK(R23)),TRUE,FALSE)</formula>
    </cfRule>
  </conditionalFormatting>
  <conditionalFormatting sqref="J45:L51 N45:P51">
    <cfRule type="expression" dxfId="152" priority="38" stopIfTrue="1">
      <formula>IF($R$43="No",TRUE,FALSE)</formula>
    </cfRule>
  </conditionalFormatting>
  <conditionalFormatting sqref="J51 N51">
    <cfRule type="expression" dxfId="151" priority="888">
      <formula>IF($R$43="No",TRUE,FALSE)</formula>
    </cfRule>
  </conditionalFormatting>
  <conditionalFormatting sqref="R43:U43">
    <cfRule type="expression" dxfId="150" priority="31">
      <formula>IF(OR(R43="--Select--",ISBLANK(R43)),TRUE,FALSE)</formula>
    </cfRule>
  </conditionalFormatting>
  <conditionalFormatting sqref="R19:U19">
    <cfRule type="expression" dxfId="149" priority="30">
      <formula>IF(OR(R19="--Select--",ISBLANK(R19)),TRUE,FALSE)</formula>
    </cfRule>
  </conditionalFormatting>
  <conditionalFormatting sqref="R17:U17">
    <cfRule type="expression" dxfId="148" priority="28">
      <formula>IF(OR(R17="--Select--",ISBLANK(R17)),TRUE,FALSE)</formula>
    </cfRule>
  </conditionalFormatting>
  <conditionalFormatting sqref="W16:Z16">
    <cfRule type="expression" dxfId="147" priority="27">
      <formula>IF(OR(W16="--Select--",ISBLANK(W16)),TRUE,FALSE)</formula>
    </cfRule>
  </conditionalFormatting>
  <conditionalFormatting sqref="J53:L53">
    <cfRule type="expression" dxfId="146" priority="26" stopIfTrue="1">
      <formula>IF($R$43="No",TRUE,FALSE)</formula>
    </cfRule>
  </conditionalFormatting>
  <conditionalFormatting sqref="N53:P53">
    <cfRule type="expression" dxfId="145" priority="17" stopIfTrue="1">
      <formula>IF($R$43="No",TRUE,FALSE)</formula>
    </cfRule>
  </conditionalFormatting>
  <conditionalFormatting sqref="R53:Z53">
    <cfRule type="expression" dxfId="144" priority="16" stopIfTrue="1">
      <formula>IF($R$43="No",TRUE,FALSE)</formula>
    </cfRule>
  </conditionalFormatting>
  <dataValidations count="4">
    <dataValidation type="list" allowBlank="1" showInputMessage="1" showErrorMessage="1" sqref="W37:Z37">
      <formula1>INDIRECT($W$36)</formula1>
    </dataValidation>
    <dataValidation type="list" allowBlank="1" showInputMessage="1" showErrorMessage="1" sqref="R37:U37">
      <formula1>INDIRECT($R$36)</formula1>
    </dataValidation>
    <dataValidation type="list" allowBlank="1" showInputMessage="1" showErrorMessage="1" sqref="W33:Z33">
      <formula1>INDIRECT($W$32)</formula1>
    </dataValidation>
    <dataValidation type="list" allowBlank="1" showInputMessage="1" showErrorMessage="1" sqref="R33:U33">
      <formula1>INDIRECT($R$32)</formula1>
    </dataValidation>
  </dataValidations>
  <pageMargins left="0.25" right="0.25" top="0.75" bottom="0.75" header="0.3" footer="0.3"/>
  <pageSetup orientation="portrait" r:id="rId1"/>
  <ignoredErrors>
    <ignoredError sqref="N47:P50" unlockedFormula="1"/>
  </ignoredErrors>
  <extLst>
    <ext xmlns:x14="http://schemas.microsoft.com/office/spreadsheetml/2009/9/main" uri="{78C0D931-6437-407d-A8EE-F0AAD7539E65}">
      <x14:conditionalFormattings>
        <x14:conditionalFormatting xmlns:xm="http://schemas.microsoft.com/office/excel/2006/main">
          <x14:cfRule type="expression" priority="1" id="{8D18950C-C1AF-4239-BCBE-ADAFE0DDB296}">
            <xm:f>OR(Summary!$P$21="--Select--",Summary!$P$21&lt;5,Summary!$P$12="--Select--",Summary!$P$12="Transformer Only")</xm:f>
            <x14:dxf>
              <fill>
                <patternFill patternType="solid">
                  <bgColor theme="1"/>
                </patternFill>
              </fill>
            </x14:dxf>
          </x14:cfRule>
          <xm:sqref>A1:XFD1048576</xm:sqref>
        </x14:conditionalFormatting>
      </x14:conditionalFormattings>
    </ext>
    <ext xmlns:x14="http://schemas.microsoft.com/office/spreadsheetml/2009/9/main" uri="{CCE6A557-97BC-4b89-ADB6-D9C93CAAB3DF}">
      <x14:dataValidations xmlns:xm="http://schemas.microsoft.com/office/excel/2006/main" count="5">
        <x14:dataValidation type="list" allowBlank="1" showInputMessage="1" showErrorMessage="1">
          <x14:formula1>
            <xm:f>Lists!$K$3:$K$4</xm:f>
          </x14:formula1>
          <xm:sqref>R43:R44</xm:sqref>
        </x14:dataValidation>
        <x14:dataValidation type="list" allowBlank="1" showInputMessage="1" showErrorMessage="1">
          <x14:formula1>
            <xm:f>Lists!$G$2:$G$5</xm:f>
          </x14:formula1>
          <xm:sqref>R29 W29:Z29</xm:sqref>
        </x14:dataValidation>
        <x14:dataValidation type="list" allowBlank="1" showInputMessage="1" showErrorMessage="1">
          <x14:formula1>
            <xm:f>Lists!$H$2:$H$4</xm:f>
          </x14:formula1>
          <xm:sqref>R30 W30:Z30</xm:sqref>
        </x14:dataValidation>
        <x14:dataValidation type="list" allowBlank="1" showInputMessage="1" showErrorMessage="1">
          <x14:formula1>
            <xm:f>Lists!$I$2:$I$5</xm:f>
          </x14:formula1>
          <xm:sqref>R32:U32 W32:Z32 R36:U36 W36:Z36</xm:sqref>
        </x14:dataValidation>
        <x14:dataValidation type="list" allowBlank="1" showInputMessage="1" showErrorMessage="1">
          <x14:formula1>
            <xm:f>Lists!$K$2:$K$4</xm:f>
          </x14:formula1>
          <xm:sqref>W12</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Z77"/>
  <sheetViews>
    <sheetView showGridLines="0" zoomScaleNormal="100" workbookViewId="0">
      <selection activeCell="H4" sqref="H4:Z4"/>
    </sheetView>
  </sheetViews>
  <sheetFormatPr defaultColWidth="3.5703125" defaultRowHeight="18.75" customHeight="1" x14ac:dyDescent="0.25"/>
  <cols>
    <col min="17" max="18" width="3.5703125" customWidth="1"/>
    <col min="23" max="23" width="3.5703125" customWidth="1"/>
    <col min="30" max="30" width="3.5703125" customWidth="1"/>
    <col min="32" max="32" width="3.5703125" customWidth="1"/>
    <col min="34" max="34" width="3.5703125" customWidth="1"/>
    <col min="38" max="39" width="3.5703125" customWidth="1"/>
    <col min="55" max="55" width="4" bestFit="1" customWidth="1"/>
    <col min="57" max="57" width="4" bestFit="1" customWidth="1"/>
    <col min="60" max="60" width="3.5703125" customWidth="1"/>
  </cols>
  <sheetData>
    <row r="1" spans="1:78" ht="18.75" customHeight="1" x14ac:dyDescent="0.3">
      <c r="A1" s="95"/>
      <c r="B1" s="94" t="s">
        <v>544</v>
      </c>
      <c r="C1" s="95"/>
      <c r="D1" s="95"/>
      <c r="E1" s="95"/>
      <c r="F1" s="95"/>
      <c r="G1" s="95"/>
      <c r="H1" s="95"/>
      <c r="I1" s="95"/>
      <c r="J1" s="95"/>
      <c r="K1" s="95"/>
      <c r="L1" s="95"/>
      <c r="M1" s="95"/>
      <c r="N1" s="95"/>
      <c r="O1" s="95"/>
      <c r="P1" s="95"/>
      <c r="Q1" s="95"/>
      <c r="R1" s="95"/>
      <c r="S1" s="95"/>
      <c r="T1" s="95"/>
      <c r="U1" s="95"/>
      <c r="V1" s="95"/>
      <c r="W1" s="95"/>
      <c r="X1" s="95"/>
      <c r="Y1" s="95"/>
      <c r="Z1" s="95"/>
      <c r="AA1" s="95"/>
      <c r="AB1" s="95"/>
      <c r="AC1" s="95"/>
      <c r="AD1" s="95"/>
      <c r="AE1" s="95"/>
      <c r="AF1" s="95"/>
      <c r="AG1" s="95"/>
      <c r="AH1" s="95"/>
      <c r="AI1" s="95"/>
      <c r="AJ1" s="95"/>
      <c r="AK1" s="95"/>
      <c r="AL1" s="95"/>
      <c r="AM1" s="95"/>
      <c r="AN1" s="95"/>
      <c r="AO1" s="95"/>
      <c r="AP1" s="95"/>
      <c r="AQ1" s="95"/>
      <c r="AR1" s="95"/>
      <c r="AS1" s="95"/>
      <c r="AT1" s="95"/>
      <c r="AU1" s="95"/>
      <c r="AV1" s="95"/>
      <c r="AW1" s="95"/>
      <c r="AX1" s="95"/>
      <c r="AY1" s="95"/>
      <c r="AZ1" s="95"/>
      <c r="BA1" s="95"/>
      <c r="BB1" s="95"/>
      <c r="BC1" s="95"/>
      <c r="BD1" s="95"/>
      <c r="BE1" s="95"/>
      <c r="BF1" s="95"/>
      <c r="BG1" s="95"/>
      <c r="BH1" s="95"/>
      <c r="BI1" s="95"/>
      <c r="BJ1" s="95"/>
      <c r="BK1" s="95"/>
      <c r="BL1" s="95"/>
      <c r="BM1" s="95"/>
      <c r="BN1" s="95"/>
      <c r="BO1" s="95"/>
      <c r="BP1" s="95"/>
      <c r="BQ1" s="95"/>
      <c r="BR1" s="95"/>
      <c r="BS1" s="95"/>
      <c r="BT1" s="95"/>
      <c r="BU1" s="95"/>
      <c r="BV1" s="95"/>
      <c r="BW1" s="95"/>
      <c r="BX1" s="95"/>
      <c r="BY1" s="95"/>
      <c r="BZ1" s="95"/>
    </row>
    <row r="2" spans="1:78" ht="18.75" customHeight="1" x14ac:dyDescent="0.25">
      <c r="AB2" s="302" t="s">
        <v>391</v>
      </c>
      <c r="AC2" s="302"/>
      <c r="AD2" s="302"/>
      <c r="AE2" s="302"/>
      <c r="AF2" s="302"/>
      <c r="AG2" s="302"/>
      <c r="AH2" s="302"/>
    </row>
    <row r="3" spans="1:78" ht="18.75" customHeight="1" x14ac:dyDescent="0.25">
      <c r="B3" s="5"/>
      <c r="AB3" s="380" t="s">
        <v>392</v>
      </c>
      <c r="AC3" s="380"/>
      <c r="AD3" s="380"/>
      <c r="AE3" s="380"/>
      <c r="AF3" s="380"/>
      <c r="AG3" s="380"/>
      <c r="AH3" s="380"/>
      <c r="AL3" s="17"/>
    </row>
    <row r="4" spans="1:78" ht="18.75" customHeight="1" x14ac:dyDescent="0.25">
      <c r="B4" s="318" t="s">
        <v>455</v>
      </c>
      <c r="C4" s="319"/>
      <c r="D4" s="319"/>
      <c r="E4" s="319"/>
      <c r="F4" s="319"/>
      <c r="G4" s="320"/>
      <c r="H4" s="172"/>
      <c r="I4" s="172"/>
      <c r="J4" s="172"/>
      <c r="K4" s="172"/>
      <c r="L4" s="172"/>
      <c r="M4" s="172"/>
      <c r="N4" s="172"/>
      <c r="O4" s="172"/>
      <c r="P4" s="172"/>
      <c r="Q4" s="172"/>
      <c r="R4" s="172"/>
      <c r="S4" s="172"/>
      <c r="T4" s="172"/>
      <c r="U4" s="172"/>
      <c r="V4" s="172"/>
      <c r="W4" s="172"/>
      <c r="X4" s="172"/>
      <c r="Y4" s="172"/>
      <c r="Z4" s="172"/>
      <c r="AB4" s="381" t="s">
        <v>393</v>
      </c>
      <c r="AC4" s="381"/>
      <c r="AD4" s="381"/>
      <c r="AE4" s="381"/>
      <c r="AF4" s="381"/>
      <c r="AG4" s="381"/>
      <c r="AH4" s="381"/>
      <c r="AL4" s="17"/>
      <c r="AM4" s="17"/>
      <c r="AN4" s="17"/>
      <c r="AO4" s="17"/>
      <c r="AP4" s="17"/>
      <c r="AQ4" s="17"/>
      <c r="AR4" s="17"/>
      <c r="AS4" s="17"/>
      <c r="AT4" s="17"/>
      <c r="AU4" s="17"/>
      <c r="AV4" s="17"/>
      <c r="AW4" s="17"/>
      <c r="AX4" s="17"/>
      <c r="AY4" s="17"/>
      <c r="AZ4" s="17"/>
      <c r="BA4" s="17"/>
      <c r="BB4" s="17"/>
      <c r="BC4" s="17"/>
      <c r="BD4" s="17"/>
      <c r="BE4" s="17"/>
    </row>
    <row r="5" spans="1:78" ht="18.75" customHeight="1" x14ac:dyDescent="0.25">
      <c r="B5" s="318" t="s">
        <v>67</v>
      </c>
      <c r="C5" s="319"/>
      <c r="D5" s="319"/>
      <c r="E5" s="319"/>
      <c r="F5" s="319"/>
      <c r="G5" s="320"/>
      <c r="H5" s="175"/>
      <c r="I5" s="175"/>
      <c r="J5" s="175"/>
      <c r="K5" s="175"/>
      <c r="L5" s="175"/>
      <c r="M5" s="175"/>
      <c r="N5" s="175"/>
      <c r="O5" s="175"/>
      <c r="P5" s="175"/>
      <c r="Q5" s="175"/>
      <c r="R5" s="175"/>
      <c r="S5" s="175"/>
      <c r="T5" s="175"/>
      <c r="U5" s="175"/>
      <c r="V5" s="175"/>
      <c r="W5" s="175"/>
      <c r="X5" s="175"/>
      <c r="Y5" s="175"/>
      <c r="Z5" s="175"/>
    </row>
    <row r="6" spans="1:78" ht="18.75" customHeight="1" x14ac:dyDescent="0.25">
      <c r="B6" s="318" t="s">
        <v>468</v>
      </c>
      <c r="C6" s="319"/>
      <c r="D6" s="319"/>
      <c r="E6" s="319"/>
      <c r="F6" s="319"/>
      <c r="G6" s="320"/>
      <c r="H6" s="175"/>
      <c r="I6" s="175"/>
      <c r="J6" s="175"/>
      <c r="K6" s="175"/>
      <c r="L6" s="175"/>
      <c r="M6" s="175"/>
      <c r="N6" s="175"/>
      <c r="O6" s="175"/>
      <c r="P6" s="175"/>
      <c r="Q6" s="175"/>
      <c r="R6" s="175"/>
      <c r="S6" s="175"/>
      <c r="T6" s="175"/>
      <c r="U6" s="175"/>
      <c r="V6" s="175"/>
      <c r="W6" s="175"/>
      <c r="X6" s="175"/>
      <c r="Y6" s="175"/>
      <c r="Z6" s="175"/>
    </row>
    <row r="7" spans="1:78" ht="18.75" customHeight="1" x14ac:dyDescent="0.25">
      <c r="B7" s="318" t="s">
        <v>12</v>
      </c>
      <c r="C7" s="319"/>
      <c r="D7" s="319"/>
      <c r="E7" s="319"/>
      <c r="F7" s="319"/>
      <c r="G7" s="320"/>
      <c r="H7" s="175"/>
      <c r="I7" s="175"/>
      <c r="J7" s="175"/>
      <c r="K7" s="175"/>
      <c r="L7" s="175"/>
      <c r="M7" s="175"/>
      <c r="N7" s="175"/>
      <c r="O7" s="175"/>
      <c r="P7" s="175"/>
      <c r="Q7" s="175"/>
      <c r="R7" s="175"/>
      <c r="S7" s="175"/>
      <c r="T7" s="175"/>
      <c r="U7" s="175"/>
      <c r="V7" s="175"/>
      <c r="W7" s="175"/>
      <c r="X7" s="175"/>
      <c r="Y7" s="175"/>
      <c r="Z7" s="175"/>
    </row>
    <row r="8" spans="1:78" ht="18.75" customHeight="1" x14ac:dyDescent="0.25">
      <c r="B8" s="318" t="s">
        <v>13</v>
      </c>
      <c r="C8" s="319"/>
      <c r="D8" s="319"/>
      <c r="E8" s="319"/>
      <c r="F8" s="319"/>
      <c r="G8" s="320"/>
      <c r="H8" s="175"/>
      <c r="I8" s="175"/>
      <c r="J8" s="175"/>
      <c r="K8" s="175"/>
      <c r="L8" s="175"/>
      <c r="M8" s="175"/>
      <c r="N8" s="175"/>
      <c r="O8" s="175"/>
      <c r="P8" s="175"/>
      <c r="Q8" s="175"/>
      <c r="R8" s="175"/>
      <c r="S8" s="175"/>
      <c r="T8" s="175"/>
      <c r="U8" s="175"/>
      <c r="V8" s="175"/>
      <c r="W8" s="175"/>
      <c r="X8" s="175"/>
      <c r="Y8" s="175"/>
      <c r="Z8" s="175"/>
    </row>
    <row r="9" spans="1:78" ht="18.75" customHeight="1" x14ac:dyDescent="0.25">
      <c r="B9" s="153"/>
      <c r="C9" s="152" t="s">
        <v>14</v>
      </c>
      <c r="D9" s="152"/>
      <c r="E9" s="152"/>
      <c r="F9" s="59"/>
      <c r="G9" s="154" t="s">
        <v>15</v>
      </c>
      <c r="H9" s="154"/>
      <c r="I9" s="154"/>
      <c r="J9" s="59"/>
      <c r="K9" s="154" t="s">
        <v>409</v>
      </c>
      <c r="L9" s="154"/>
      <c r="M9" s="154"/>
      <c r="N9" s="154"/>
      <c r="O9" s="154"/>
      <c r="P9" s="154"/>
      <c r="Q9" s="154"/>
      <c r="R9" s="154"/>
      <c r="S9" s="59"/>
      <c r="T9" s="59"/>
      <c r="U9" s="59"/>
      <c r="V9" s="59"/>
      <c r="W9" s="59"/>
      <c r="X9" s="59"/>
      <c r="Y9" s="59"/>
      <c r="Z9" s="156"/>
    </row>
    <row r="10" spans="1:78" ht="18.75" customHeight="1" x14ac:dyDescent="0.25">
      <c r="B10" s="220" t="s">
        <v>480</v>
      </c>
      <c r="C10" s="221"/>
      <c r="D10" s="221"/>
      <c r="E10" s="221"/>
      <c r="F10" s="221"/>
      <c r="G10" s="221"/>
      <c r="H10" s="221"/>
      <c r="I10" s="327"/>
      <c r="J10" s="328" t="str">
        <f ca="1">IF(ISBLANK($H$5),"",OFFSET(Lists!$AI$1,MATCH('RC6'!$G$9,Lists!$AA$2:$AA$4,FALSE),MATCH('RC6'!$H$5,Lists!$AJ$1:$BA$1,1)))</f>
        <v/>
      </c>
      <c r="K10" s="328"/>
      <c r="L10" s="328"/>
      <c r="M10" s="328"/>
      <c r="N10" s="328"/>
      <c r="O10" s="328"/>
      <c r="P10" s="328"/>
      <c r="Q10" s="328"/>
      <c r="R10" s="328"/>
      <c r="S10" s="328"/>
      <c r="T10" s="328"/>
      <c r="U10" s="328"/>
      <c r="V10" s="328"/>
      <c r="W10" s="328"/>
      <c r="X10" s="328"/>
      <c r="Y10" s="328"/>
      <c r="Z10" s="328"/>
      <c r="AA10" s="17"/>
      <c r="AB10" s="17"/>
      <c r="AC10" s="17"/>
      <c r="AD10" s="17"/>
      <c r="AE10" s="17"/>
      <c r="AF10" s="17"/>
      <c r="AG10" s="17"/>
      <c r="AH10" s="17"/>
      <c r="AI10" s="17"/>
      <c r="AJ10" s="17"/>
      <c r="AK10" s="17"/>
      <c r="AL10" s="17"/>
      <c r="AM10" s="17"/>
      <c r="AN10" s="17"/>
      <c r="AO10" s="17"/>
      <c r="AP10" s="17"/>
      <c r="AQ10" s="17"/>
      <c r="AR10" s="17"/>
      <c r="AS10" s="17"/>
      <c r="AT10" s="17"/>
      <c r="AU10" s="17"/>
    </row>
    <row r="11" spans="1:78" ht="18.75" customHeight="1" x14ac:dyDescent="0.25">
      <c r="G11" s="46"/>
      <c r="H11" s="46"/>
      <c r="I11" s="46"/>
      <c r="J11" s="46"/>
      <c r="K11" s="46"/>
      <c r="L11" s="46"/>
      <c r="M11" s="46"/>
      <c r="N11" s="46"/>
      <c r="O11" s="46"/>
      <c r="P11" s="46"/>
      <c r="Q11" s="46"/>
      <c r="R11" s="46"/>
    </row>
    <row r="12" spans="1:78" ht="18.75" customHeight="1" x14ac:dyDescent="0.25">
      <c r="B12" s="321" t="s">
        <v>457</v>
      </c>
      <c r="C12" s="322"/>
      <c r="D12" s="322"/>
      <c r="E12" s="322"/>
      <c r="F12" s="322"/>
      <c r="G12" s="322"/>
      <c r="H12" s="322"/>
      <c r="I12" s="322"/>
      <c r="J12" s="322"/>
      <c r="K12" s="322"/>
      <c r="L12" s="322"/>
      <c r="M12" s="322"/>
      <c r="N12" s="322"/>
      <c r="O12" s="322"/>
      <c r="P12" s="322"/>
      <c r="Q12" s="322"/>
      <c r="R12" s="322"/>
      <c r="S12" s="322"/>
      <c r="T12" s="322"/>
      <c r="U12" s="323"/>
      <c r="W12" s="329" t="s">
        <v>7</v>
      </c>
      <c r="X12" s="329"/>
      <c r="Y12" s="329"/>
      <c r="Z12" s="329"/>
      <c r="AC12" s="17"/>
    </row>
    <row r="13" spans="1:78" ht="18.75" customHeight="1" thickBot="1" x14ac:dyDescent="0.3">
      <c r="A13" s="10"/>
      <c r="B13" s="77" t="str">
        <f>IF($W$12="Yes","**Before continuing, please consult with BPA Technical Staff for assistance**","")</f>
        <v/>
      </c>
      <c r="C13" s="77"/>
      <c r="D13" s="77"/>
      <c r="E13" s="77"/>
      <c r="F13" s="77"/>
      <c r="G13" s="77"/>
      <c r="H13" s="77"/>
      <c r="I13" s="77"/>
      <c r="J13" s="77"/>
      <c r="K13" s="77"/>
      <c r="L13" s="77"/>
      <c r="M13" s="77"/>
      <c r="N13" s="77"/>
      <c r="O13" s="17"/>
      <c r="P13" s="77"/>
      <c r="Q13" s="77"/>
      <c r="AC13" s="17"/>
      <c r="BL13" s="17"/>
      <c r="BM13" s="17"/>
      <c r="BN13" s="17"/>
      <c r="BO13" s="17"/>
      <c r="BP13" s="17"/>
      <c r="BQ13" s="17"/>
      <c r="BR13" s="17"/>
      <c r="BS13" s="17"/>
      <c r="BT13" s="17"/>
      <c r="BU13" s="17"/>
    </row>
    <row r="14" spans="1:78" ht="18.75" customHeight="1" thickBot="1" x14ac:dyDescent="0.3">
      <c r="F14" s="2"/>
      <c r="G14" s="2"/>
      <c r="H14" s="2"/>
      <c r="I14" s="2"/>
      <c r="R14" s="309" t="s">
        <v>22</v>
      </c>
      <c r="S14" s="310"/>
      <c r="T14" s="310"/>
      <c r="U14" s="311"/>
      <c r="W14" s="309" t="s">
        <v>30</v>
      </c>
      <c r="X14" s="310"/>
      <c r="Y14" s="310"/>
      <c r="Z14" s="311"/>
      <c r="BC14" s="17"/>
      <c r="BE14" s="17"/>
      <c r="BF14" s="17"/>
      <c r="BG14" s="17"/>
      <c r="BH14" s="17"/>
      <c r="BI14" s="17"/>
      <c r="BJ14" s="17"/>
      <c r="BK14" s="17"/>
      <c r="BL14" s="17"/>
      <c r="BM14" s="17"/>
      <c r="BN14" s="17"/>
      <c r="BO14" s="17"/>
      <c r="BP14" s="17"/>
      <c r="BQ14" s="17"/>
      <c r="BR14" s="17"/>
      <c r="BS14" s="17"/>
      <c r="BT14" s="17"/>
      <c r="BU14" s="17"/>
    </row>
    <row r="15" spans="1:78" ht="18.75" customHeight="1" thickBot="1" x14ac:dyDescent="0.3">
      <c r="B15" s="324" t="s">
        <v>524</v>
      </c>
      <c r="C15" s="325"/>
      <c r="D15" s="325"/>
      <c r="E15" s="325"/>
      <c r="F15" s="325"/>
      <c r="G15" s="325"/>
      <c r="H15" s="325"/>
      <c r="I15" s="325"/>
      <c r="J15" s="325"/>
      <c r="K15" s="325"/>
      <c r="L15" s="325"/>
      <c r="M15" s="325"/>
      <c r="N15" s="325"/>
      <c r="O15" s="325"/>
      <c r="P15" s="326"/>
      <c r="R15" s="312"/>
      <c r="S15" s="313"/>
      <c r="T15" s="313"/>
      <c r="U15" s="314"/>
      <c r="W15" s="312"/>
      <c r="X15" s="313"/>
      <c r="Y15" s="313"/>
      <c r="Z15" s="314"/>
      <c r="AM15" s="17"/>
      <c r="AN15" s="17"/>
      <c r="AO15" s="17"/>
      <c r="AP15" s="17"/>
      <c r="AQ15" s="17"/>
      <c r="AR15" s="17"/>
      <c r="AS15" s="17"/>
      <c r="AT15" s="17"/>
      <c r="AU15" s="17"/>
      <c r="AV15" s="17"/>
      <c r="AW15" s="17"/>
      <c r="AX15" s="17"/>
      <c r="AY15" s="17"/>
      <c r="AZ15" s="17"/>
      <c r="BA15" s="17"/>
      <c r="BB15" s="17"/>
      <c r="BC15" s="17"/>
      <c r="BD15" s="17"/>
      <c r="BE15" s="17"/>
      <c r="BF15" s="17"/>
    </row>
    <row r="16" spans="1:78" ht="18.75" customHeight="1" x14ac:dyDescent="0.25">
      <c r="B16" s="256" t="s">
        <v>428</v>
      </c>
      <c r="C16" s="256"/>
      <c r="D16" s="256"/>
      <c r="E16" s="256"/>
      <c r="F16" s="256"/>
      <c r="G16" s="256"/>
      <c r="H16" s="256"/>
      <c r="I16" s="256"/>
      <c r="J16" s="256"/>
      <c r="K16" s="256"/>
      <c r="L16" s="256"/>
      <c r="M16" s="256"/>
      <c r="N16" s="256"/>
      <c r="O16" s="256"/>
      <c r="P16" s="256"/>
      <c r="Q16" s="17"/>
      <c r="R16" s="330"/>
      <c r="S16" s="331"/>
      <c r="T16" s="331"/>
      <c r="U16" s="332"/>
      <c r="W16" s="361"/>
      <c r="X16" s="361"/>
      <c r="Y16" s="361"/>
      <c r="Z16" s="361"/>
      <c r="AD16" s="17"/>
      <c r="AW16" s="17"/>
      <c r="AX16" s="17"/>
      <c r="BC16" s="17"/>
      <c r="BD16" s="17"/>
      <c r="BE16" s="17"/>
      <c r="BF16" s="17"/>
    </row>
    <row r="17" spans="1:37" ht="18.75" customHeight="1" x14ac:dyDescent="0.25">
      <c r="B17" s="316" t="s">
        <v>511</v>
      </c>
      <c r="C17" s="316"/>
      <c r="D17" s="316"/>
      <c r="E17" s="316"/>
      <c r="F17" s="316"/>
      <c r="G17" s="316"/>
      <c r="H17" s="316"/>
      <c r="I17" s="316"/>
      <c r="J17" s="316"/>
      <c r="K17" s="316"/>
      <c r="L17" s="316"/>
      <c r="M17" s="316"/>
      <c r="N17" s="316"/>
      <c r="O17" s="316"/>
      <c r="P17" s="316"/>
      <c r="Q17" s="2"/>
      <c r="R17" s="369"/>
      <c r="S17" s="369"/>
      <c r="T17" s="369"/>
      <c r="U17" s="369"/>
      <c r="V17" s="2"/>
      <c r="W17" s="362">
        <f t="shared" ref="W17:W21" si="0">R17</f>
        <v>0</v>
      </c>
      <c r="X17" s="362"/>
      <c r="Y17" s="362"/>
      <c r="Z17" s="362"/>
      <c r="AD17" s="17"/>
    </row>
    <row r="18" spans="1:37" ht="18.75" customHeight="1" x14ac:dyDescent="0.25">
      <c r="B18" s="256" t="s">
        <v>429</v>
      </c>
      <c r="C18" s="256"/>
      <c r="D18" s="256"/>
      <c r="E18" s="256"/>
      <c r="F18" s="256"/>
      <c r="G18" s="256"/>
      <c r="H18" s="256"/>
      <c r="I18" s="256"/>
      <c r="J18" s="256"/>
      <c r="K18" s="256"/>
      <c r="L18" s="256"/>
      <c r="M18" s="256"/>
      <c r="N18" s="256"/>
      <c r="O18" s="256"/>
      <c r="P18" s="256"/>
      <c r="Q18" s="2"/>
      <c r="R18" s="370"/>
      <c r="S18" s="370"/>
      <c r="T18" s="370"/>
      <c r="U18" s="370"/>
      <c r="V18" s="2"/>
      <c r="W18" s="317">
        <f t="shared" si="0"/>
        <v>0</v>
      </c>
      <c r="X18" s="317"/>
      <c r="Y18" s="317"/>
      <c r="Z18" s="317"/>
      <c r="AE18" s="2"/>
    </row>
    <row r="19" spans="1:37" ht="18.75" customHeight="1" x14ac:dyDescent="0.25">
      <c r="B19" s="256" t="s">
        <v>430</v>
      </c>
      <c r="C19" s="256"/>
      <c r="D19" s="256"/>
      <c r="E19" s="256"/>
      <c r="F19" s="256"/>
      <c r="G19" s="256"/>
      <c r="H19" s="256"/>
      <c r="I19" s="256"/>
      <c r="J19" s="256"/>
      <c r="K19" s="256"/>
      <c r="L19" s="256"/>
      <c r="M19" s="256"/>
      <c r="N19" s="256"/>
      <c r="O19" s="256"/>
      <c r="P19" s="256"/>
      <c r="Q19" s="2"/>
      <c r="R19" s="315" t="str">
        <f>IFERROR($R$17/$R$18,"")</f>
        <v/>
      </c>
      <c r="S19" s="315"/>
      <c r="T19" s="315"/>
      <c r="U19" s="315"/>
      <c r="V19" s="7"/>
      <c r="W19" s="363" t="str">
        <f t="shared" si="0"/>
        <v/>
      </c>
      <c r="X19" s="363"/>
      <c r="Y19" s="363"/>
      <c r="Z19" s="363"/>
      <c r="AB19" s="343" t="s">
        <v>670</v>
      </c>
      <c r="AC19" s="344"/>
      <c r="AD19" s="344"/>
      <c r="AE19" s="344"/>
      <c r="AF19" s="344"/>
      <c r="AG19" s="344"/>
      <c r="AH19" s="344"/>
      <c r="AI19" s="344"/>
      <c r="AJ19" s="344"/>
      <c r="AK19" s="345"/>
    </row>
    <row r="20" spans="1:37" ht="18.75" customHeight="1" x14ac:dyDescent="0.25">
      <c r="B20" s="256" t="s">
        <v>512</v>
      </c>
      <c r="C20" s="256"/>
      <c r="D20" s="256"/>
      <c r="E20" s="256"/>
      <c r="F20" s="256"/>
      <c r="G20" s="256"/>
      <c r="H20" s="256"/>
      <c r="I20" s="256"/>
      <c r="J20" s="256"/>
      <c r="K20" s="256"/>
      <c r="L20" s="256"/>
      <c r="M20" s="256"/>
      <c r="N20" s="256"/>
      <c r="O20" s="256"/>
      <c r="P20" s="256"/>
      <c r="Q20" s="2"/>
      <c r="R20" s="365"/>
      <c r="S20" s="366"/>
      <c r="T20" s="366"/>
      <c r="U20" s="367"/>
      <c r="V20" s="61"/>
      <c r="W20" s="363">
        <f t="shared" si="0"/>
        <v>0</v>
      </c>
      <c r="X20" s="363"/>
      <c r="Y20" s="363"/>
      <c r="Z20" s="363"/>
      <c r="AB20" s="346"/>
      <c r="AC20" s="347"/>
      <c r="AD20" s="347"/>
      <c r="AE20" s="347"/>
      <c r="AF20" s="347"/>
      <c r="AG20" s="347"/>
      <c r="AH20" s="347"/>
      <c r="AI20" s="347"/>
      <c r="AJ20" s="347"/>
      <c r="AK20" s="348"/>
    </row>
    <row r="21" spans="1:37" ht="18.75" customHeight="1" x14ac:dyDescent="0.25">
      <c r="B21" s="256" t="s">
        <v>431</v>
      </c>
      <c r="C21" s="256"/>
      <c r="D21" s="256"/>
      <c r="E21" s="256"/>
      <c r="F21" s="256"/>
      <c r="G21" s="256"/>
      <c r="H21" s="256"/>
      <c r="I21" s="256"/>
      <c r="J21" s="256"/>
      <c r="K21" s="256"/>
      <c r="L21" s="256"/>
      <c r="M21" s="256"/>
      <c r="N21" s="256"/>
      <c r="O21" s="256"/>
      <c r="P21" s="256"/>
      <c r="Q21" s="2"/>
      <c r="R21" s="315" t="str">
        <f>IFERROR($R$20/$R$18,"")</f>
        <v/>
      </c>
      <c r="S21" s="315"/>
      <c r="T21" s="315"/>
      <c r="U21" s="315"/>
      <c r="V21" s="7"/>
      <c r="W21" s="363" t="str">
        <f t="shared" si="0"/>
        <v/>
      </c>
      <c r="X21" s="363"/>
      <c r="Y21" s="363"/>
      <c r="Z21" s="363"/>
      <c r="AB21" s="349"/>
      <c r="AC21" s="350"/>
      <c r="AD21" s="350"/>
      <c r="AE21" s="350"/>
      <c r="AF21" s="350"/>
      <c r="AG21" s="350"/>
      <c r="AH21" s="350"/>
      <c r="AI21" s="350"/>
      <c r="AJ21" s="350"/>
      <c r="AK21" s="351"/>
    </row>
    <row r="22" spans="1:37" ht="18.75" customHeight="1" x14ac:dyDescent="0.25">
      <c r="B22" s="2"/>
      <c r="C22" s="2"/>
      <c r="D22" s="2"/>
      <c r="Q22" s="2"/>
      <c r="R22" s="2"/>
      <c r="V22" s="2"/>
      <c r="W22" s="2"/>
      <c r="AB22" s="119"/>
      <c r="AC22" s="119"/>
      <c r="AD22" s="119"/>
      <c r="AE22" s="2"/>
      <c r="AF22" s="17"/>
      <c r="AG22" s="17"/>
      <c r="AH22" s="17"/>
      <c r="AI22" s="17"/>
      <c r="AJ22" s="17"/>
      <c r="AK22" s="119"/>
    </row>
    <row r="23" spans="1:37" ht="18.75" customHeight="1" x14ac:dyDescent="0.25">
      <c r="B23" s="256" t="s">
        <v>432</v>
      </c>
      <c r="C23" s="256"/>
      <c r="D23" s="256"/>
      <c r="E23" s="256"/>
      <c r="F23" s="256"/>
      <c r="G23" s="256"/>
      <c r="H23" s="256"/>
      <c r="I23" s="256"/>
      <c r="J23" s="256"/>
      <c r="K23" s="256"/>
      <c r="L23" s="256"/>
      <c r="M23" s="256"/>
      <c r="N23" s="256"/>
      <c r="O23" s="256"/>
      <c r="P23" s="256"/>
      <c r="Q23" s="2"/>
      <c r="R23" s="368"/>
      <c r="S23" s="368"/>
      <c r="T23" s="368"/>
      <c r="U23" s="368"/>
      <c r="V23" s="82"/>
      <c r="W23" s="364">
        <f>R23</f>
        <v>0</v>
      </c>
      <c r="X23" s="364"/>
      <c r="Y23" s="364"/>
      <c r="Z23" s="364"/>
      <c r="AB23" s="352" t="s">
        <v>669</v>
      </c>
      <c r="AC23" s="353"/>
      <c r="AD23" s="353"/>
      <c r="AE23" s="353"/>
      <c r="AF23" s="353"/>
      <c r="AG23" s="353"/>
      <c r="AH23" s="353"/>
      <c r="AI23" s="353"/>
      <c r="AJ23" s="353"/>
      <c r="AK23" s="354"/>
    </row>
    <row r="24" spans="1:37" ht="18.75" customHeight="1" x14ac:dyDescent="0.25">
      <c r="B24" s="256" t="s">
        <v>470</v>
      </c>
      <c r="C24" s="256"/>
      <c r="D24" s="256"/>
      <c r="E24" s="256"/>
      <c r="F24" s="256"/>
      <c r="G24" s="256"/>
      <c r="H24" s="256"/>
      <c r="I24" s="256"/>
      <c r="J24" s="256"/>
      <c r="K24" s="256"/>
      <c r="L24" s="256"/>
      <c r="M24" s="256"/>
      <c r="N24" s="256"/>
      <c r="O24" s="256"/>
      <c r="P24" s="256"/>
      <c r="Q24" s="2"/>
      <c r="R24" s="372">
        <f>IFERROR(0.85*$R$23^2+0.15*$R$23,"")</f>
        <v>0</v>
      </c>
      <c r="S24" s="372"/>
      <c r="T24" s="372"/>
      <c r="U24" s="372"/>
      <c r="V24" s="2"/>
      <c r="W24" s="372">
        <f>IFERROR(0.85*$W$23^2+0.15*$W$23,"")</f>
        <v>0</v>
      </c>
      <c r="X24" s="372"/>
      <c r="Y24" s="372"/>
      <c r="Z24" s="372"/>
      <c r="AB24" s="355"/>
      <c r="AC24" s="356"/>
      <c r="AD24" s="356"/>
      <c r="AE24" s="356"/>
      <c r="AF24" s="356"/>
      <c r="AG24" s="356"/>
      <c r="AH24" s="356"/>
      <c r="AI24" s="356"/>
      <c r="AJ24" s="356"/>
      <c r="AK24" s="357"/>
    </row>
    <row r="25" spans="1:37" ht="18.75" customHeight="1" x14ac:dyDescent="0.25">
      <c r="B25" s="256" t="s">
        <v>23</v>
      </c>
      <c r="C25" s="256"/>
      <c r="D25" s="256"/>
      <c r="E25" s="256"/>
      <c r="F25" s="256"/>
      <c r="G25" s="256"/>
      <c r="H25" s="256"/>
      <c r="I25" s="256"/>
      <c r="J25" s="256"/>
      <c r="K25" s="256"/>
      <c r="L25" s="256"/>
      <c r="M25" s="256"/>
      <c r="N25" s="256"/>
      <c r="O25" s="256"/>
      <c r="P25" s="256"/>
      <c r="Q25" s="64" t="str">
        <f>IFERROR(R21/R19,"")</f>
        <v/>
      </c>
      <c r="R25" s="372" t="str">
        <f>IFERROR(INDEX('Distribution Factor'!$B$3:$B$53,MATCH($Q$25,'Distribution Factor'!$A$3:$A$53,-1)),"")</f>
        <v/>
      </c>
      <c r="S25" s="372"/>
      <c r="T25" s="372"/>
      <c r="U25" s="372"/>
      <c r="V25" s="65" t="str">
        <f>IFERROR(W21/W19,"")</f>
        <v/>
      </c>
      <c r="W25" s="372" t="str">
        <f>IFERROR(INDEX('Distribution Factor'!$B$3:$B$53,MATCH($V$25,'Distribution Factor'!$A$3:$A$53,-1)),"")</f>
        <v/>
      </c>
      <c r="X25" s="372"/>
      <c r="Y25" s="372"/>
      <c r="Z25" s="372"/>
      <c r="AB25" s="355"/>
      <c r="AC25" s="356"/>
      <c r="AD25" s="356"/>
      <c r="AE25" s="356"/>
      <c r="AF25" s="356"/>
      <c r="AG25" s="356"/>
      <c r="AH25" s="356"/>
      <c r="AI25" s="356"/>
      <c r="AJ25" s="356"/>
      <c r="AK25" s="357"/>
    </row>
    <row r="26" spans="1:37" ht="18.75" customHeight="1" x14ac:dyDescent="0.25">
      <c r="B26" s="36"/>
      <c r="C26" s="36"/>
      <c r="D26" s="36"/>
      <c r="E26" s="36"/>
      <c r="F26" s="36"/>
      <c r="G26" s="36"/>
      <c r="H26" s="36"/>
      <c r="I26" s="36"/>
      <c r="J26" s="36"/>
      <c r="K26" s="36"/>
      <c r="L26" s="36"/>
      <c r="M26" s="35"/>
      <c r="N26" s="35"/>
      <c r="O26" s="35"/>
      <c r="P26" s="35"/>
      <c r="Q26" s="2"/>
      <c r="R26" s="2"/>
      <c r="V26" s="2"/>
      <c r="W26" s="2"/>
      <c r="AB26" s="355"/>
      <c r="AC26" s="356"/>
      <c r="AD26" s="356"/>
      <c r="AE26" s="356"/>
      <c r="AF26" s="356"/>
      <c r="AG26" s="356"/>
      <c r="AH26" s="356"/>
      <c r="AI26" s="356"/>
      <c r="AJ26" s="356"/>
      <c r="AK26" s="357"/>
    </row>
    <row r="27" spans="1:37" ht="18.75" customHeight="1" x14ac:dyDescent="0.25">
      <c r="B27" s="256" t="s">
        <v>433</v>
      </c>
      <c r="C27" s="256"/>
      <c r="D27" s="256"/>
      <c r="E27" s="256"/>
      <c r="F27" s="256"/>
      <c r="G27" s="256"/>
      <c r="H27" s="256"/>
      <c r="I27" s="256"/>
      <c r="J27" s="256"/>
      <c r="K27" s="256"/>
      <c r="L27" s="256"/>
      <c r="M27" s="256"/>
      <c r="N27" s="256"/>
      <c r="O27" s="256"/>
      <c r="P27" s="256"/>
      <c r="Q27" s="2"/>
      <c r="R27" s="371"/>
      <c r="S27" s="371"/>
      <c r="T27" s="371"/>
      <c r="U27" s="371"/>
      <c r="V27" s="2"/>
      <c r="W27" s="371"/>
      <c r="X27" s="371"/>
      <c r="Y27" s="371"/>
      <c r="Z27" s="371"/>
      <c r="AB27" s="358"/>
      <c r="AC27" s="359"/>
      <c r="AD27" s="359"/>
      <c r="AE27" s="359"/>
      <c r="AF27" s="359"/>
      <c r="AG27" s="359"/>
      <c r="AH27" s="359"/>
      <c r="AI27" s="359"/>
      <c r="AJ27" s="359"/>
      <c r="AK27" s="360"/>
    </row>
    <row r="28" spans="1:37" ht="18.75" customHeight="1" x14ac:dyDescent="0.25">
      <c r="B28" s="2"/>
      <c r="C28" s="2"/>
      <c r="D28" s="2"/>
      <c r="Q28" s="2"/>
      <c r="R28" s="2"/>
      <c r="V28" s="2"/>
      <c r="W28" s="2"/>
      <c r="AB28" s="119"/>
      <c r="AC28" s="119"/>
      <c r="AD28" s="119"/>
      <c r="AE28" s="2"/>
      <c r="AF28" s="119"/>
      <c r="AG28" s="119"/>
      <c r="AH28" s="119"/>
      <c r="AI28" s="119"/>
      <c r="AJ28" s="119"/>
      <c r="AK28" s="119"/>
    </row>
    <row r="29" spans="1:37" ht="18.75" customHeight="1" x14ac:dyDescent="0.25">
      <c r="B29" s="256" t="s">
        <v>24</v>
      </c>
      <c r="C29" s="256"/>
      <c r="D29" s="256"/>
      <c r="E29" s="256"/>
      <c r="F29" s="256"/>
      <c r="G29" s="256"/>
      <c r="H29" s="256"/>
      <c r="I29" s="256"/>
      <c r="J29" s="256"/>
      <c r="K29" s="256"/>
      <c r="L29" s="256"/>
      <c r="M29" s="256"/>
      <c r="N29" s="256"/>
      <c r="O29" s="256"/>
      <c r="P29" s="256"/>
      <c r="Q29" s="2"/>
      <c r="R29" s="255" t="s">
        <v>3</v>
      </c>
      <c r="S29" s="255"/>
      <c r="T29" s="255"/>
      <c r="U29" s="255"/>
      <c r="V29" s="2"/>
      <c r="W29" s="255" t="s">
        <v>3</v>
      </c>
      <c r="X29" s="255"/>
      <c r="Y29" s="255"/>
      <c r="Z29" s="255"/>
      <c r="AB29" s="119"/>
      <c r="AC29" s="119"/>
      <c r="AD29" s="119"/>
      <c r="AE29" s="2"/>
      <c r="AF29" s="119"/>
      <c r="AG29" s="119"/>
      <c r="AH29" s="119"/>
      <c r="AI29" s="119"/>
      <c r="AJ29" s="119"/>
      <c r="AK29" s="119"/>
    </row>
    <row r="30" spans="1:37" ht="18.75" customHeight="1" x14ac:dyDescent="0.25">
      <c r="B30" s="256" t="s">
        <v>25</v>
      </c>
      <c r="C30" s="256"/>
      <c r="D30" s="256"/>
      <c r="E30" s="256"/>
      <c r="F30" s="256"/>
      <c r="G30" s="256"/>
      <c r="H30" s="256"/>
      <c r="I30" s="256"/>
      <c r="J30" s="256"/>
      <c r="K30" s="256"/>
      <c r="L30" s="256"/>
      <c r="M30" s="256"/>
      <c r="N30" s="256"/>
      <c r="O30" s="256"/>
      <c r="P30" s="256"/>
      <c r="Q30" s="2"/>
      <c r="R30" s="255" t="s">
        <v>3</v>
      </c>
      <c r="S30" s="255"/>
      <c r="T30" s="255"/>
      <c r="U30" s="255"/>
      <c r="V30" s="2"/>
      <c r="W30" s="255" t="s">
        <v>3</v>
      </c>
      <c r="X30" s="255"/>
      <c r="Y30" s="255"/>
      <c r="Z30" s="255"/>
      <c r="AB30" s="119"/>
      <c r="AC30" s="119"/>
      <c r="AD30" s="17"/>
      <c r="AE30" s="2"/>
      <c r="AF30" s="119"/>
      <c r="AG30" s="119"/>
      <c r="AH30" s="119"/>
      <c r="AI30" s="119"/>
      <c r="AJ30" s="119"/>
      <c r="AK30" s="119"/>
    </row>
    <row r="31" spans="1:37" ht="18.75" customHeight="1" x14ac:dyDescent="0.25">
      <c r="A31" s="10"/>
      <c r="B31" s="336" t="str">
        <f>IFERROR(IF(OR($R$29+$R$30&lt;2,$W$29+$W$30&lt;2),"**Phase plus neutral conductors must add to 2 or more**",""),"")</f>
        <v/>
      </c>
      <c r="C31" s="336"/>
      <c r="D31" s="336"/>
      <c r="E31" s="336"/>
      <c r="F31" s="336"/>
      <c r="G31" s="336"/>
      <c r="H31" s="336"/>
      <c r="I31" s="336"/>
      <c r="J31" s="336"/>
      <c r="K31" s="336"/>
      <c r="L31" s="336"/>
      <c r="M31" s="336"/>
      <c r="N31" s="336"/>
      <c r="O31" s="336"/>
      <c r="P31" s="336"/>
      <c r="Q31" s="2"/>
      <c r="R31" s="340"/>
      <c r="S31" s="341"/>
      <c r="T31" s="341"/>
      <c r="U31" s="342"/>
      <c r="V31" s="2"/>
      <c r="W31" s="2"/>
      <c r="AB31" s="119"/>
      <c r="AC31" s="119"/>
      <c r="AD31" s="119"/>
      <c r="AE31" s="2"/>
      <c r="AF31" s="119"/>
      <c r="AG31" s="119"/>
      <c r="AH31" s="119"/>
      <c r="AI31" s="119"/>
      <c r="AJ31" s="119"/>
      <c r="AK31" s="119"/>
    </row>
    <row r="32" spans="1:37" ht="18.75" customHeight="1" x14ac:dyDescent="0.25">
      <c r="B32" s="256" t="s">
        <v>27</v>
      </c>
      <c r="C32" s="256"/>
      <c r="D32" s="256"/>
      <c r="E32" s="256"/>
      <c r="F32" s="256"/>
      <c r="G32" s="256"/>
      <c r="H32" s="256"/>
      <c r="I32" s="256"/>
      <c r="J32" s="256"/>
      <c r="K32" s="256"/>
      <c r="L32" s="256"/>
      <c r="M32" s="256"/>
      <c r="N32" s="256"/>
      <c r="O32" s="256"/>
      <c r="P32" s="256"/>
      <c r="Q32" s="2"/>
      <c r="R32" s="333" t="s">
        <v>3</v>
      </c>
      <c r="S32" s="333"/>
      <c r="T32" s="333"/>
      <c r="U32" s="333"/>
      <c r="V32" s="2"/>
      <c r="W32" s="255" t="s">
        <v>3</v>
      </c>
      <c r="X32" s="255"/>
      <c r="Y32" s="255"/>
      <c r="Z32" s="255"/>
      <c r="AB32" s="119"/>
      <c r="AC32" s="119"/>
      <c r="AD32" s="119"/>
      <c r="AE32" s="2"/>
      <c r="AF32" s="119"/>
      <c r="AG32" s="119"/>
      <c r="AH32" s="119"/>
      <c r="AI32" s="119"/>
      <c r="AJ32" s="119"/>
      <c r="AK32" s="119"/>
    </row>
    <row r="33" spans="2:61" ht="18.75" customHeight="1" x14ac:dyDescent="0.25">
      <c r="B33" s="256" t="s">
        <v>26</v>
      </c>
      <c r="C33" s="256"/>
      <c r="D33" s="256"/>
      <c r="E33" s="256"/>
      <c r="F33" s="256"/>
      <c r="G33" s="256"/>
      <c r="H33" s="256"/>
      <c r="I33" s="256"/>
      <c r="J33" s="256"/>
      <c r="K33" s="256"/>
      <c r="L33" s="256"/>
      <c r="M33" s="256"/>
      <c r="N33" s="256"/>
      <c r="O33" s="256"/>
      <c r="P33" s="256"/>
      <c r="Q33" s="2"/>
      <c r="R33" s="172"/>
      <c r="S33" s="172"/>
      <c r="T33" s="172"/>
      <c r="U33" s="172"/>
      <c r="V33" s="2"/>
      <c r="W33" s="255"/>
      <c r="X33" s="255"/>
      <c r="Y33" s="255"/>
      <c r="Z33" s="255"/>
      <c r="AB33" s="119"/>
      <c r="AC33" s="119"/>
      <c r="AD33" s="119"/>
      <c r="AE33" s="17"/>
      <c r="AF33" s="2"/>
      <c r="AG33" s="119"/>
      <c r="AH33" s="119"/>
      <c r="AI33" s="119"/>
      <c r="AJ33" s="119"/>
      <c r="AK33" s="119"/>
    </row>
    <row r="34" spans="2:61" ht="18.75" customHeight="1" x14ac:dyDescent="0.25">
      <c r="B34" s="256" t="s">
        <v>109</v>
      </c>
      <c r="C34" s="256"/>
      <c r="D34" s="256"/>
      <c r="E34" s="256"/>
      <c r="F34" s="256"/>
      <c r="G34" s="256"/>
      <c r="H34" s="256"/>
      <c r="I34" s="256"/>
      <c r="J34" s="256"/>
      <c r="K34" s="256"/>
      <c r="L34" s="256"/>
      <c r="M34" s="256"/>
      <c r="N34" s="256"/>
      <c r="O34" s="256"/>
      <c r="P34" s="256"/>
      <c r="Q34" s="2"/>
      <c r="R34" s="257" t="str">
        <f ca="1">IFERROR(VLOOKUP($R$33,INDIRECT($R$32&amp;"T"),2,),"")</f>
        <v/>
      </c>
      <c r="S34" s="257"/>
      <c r="T34" s="257"/>
      <c r="U34" s="257"/>
      <c r="V34" s="2"/>
      <c r="W34" s="257" t="str">
        <f ca="1">IFERROR(VLOOKUP($W$33,INDIRECT($W$32&amp;"T"),2,),"")</f>
        <v/>
      </c>
      <c r="X34" s="257"/>
      <c r="Y34" s="257"/>
      <c r="Z34" s="257"/>
      <c r="AB34" s="119"/>
      <c r="AC34" s="119"/>
      <c r="AD34" s="17"/>
      <c r="AE34" s="17"/>
      <c r="AF34" s="119"/>
      <c r="AG34" s="17"/>
      <c r="AH34" s="119"/>
      <c r="AI34" s="119"/>
      <c r="AJ34" s="119"/>
      <c r="AK34" s="119"/>
    </row>
    <row r="35" spans="2:61" ht="18.75" customHeight="1" x14ac:dyDescent="0.25">
      <c r="Q35" s="2"/>
      <c r="R35" s="2"/>
      <c r="S35" s="2"/>
      <c r="V35" s="2"/>
      <c r="W35" s="2"/>
      <c r="AB35" s="119"/>
      <c r="AC35" s="119"/>
      <c r="AD35" s="119"/>
      <c r="AE35" s="119"/>
      <c r="AF35" s="119"/>
      <c r="AG35" s="119"/>
      <c r="AH35" s="119"/>
      <c r="AI35" s="119"/>
      <c r="AJ35" s="119"/>
      <c r="AK35" s="119"/>
    </row>
    <row r="36" spans="2:61" ht="18.75" customHeight="1" x14ac:dyDescent="0.25">
      <c r="B36" s="256" t="s">
        <v>29</v>
      </c>
      <c r="C36" s="256"/>
      <c r="D36" s="256"/>
      <c r="E36" s="256"/>
      <c r="F36" s="256"/>
      <c r="G36" s="256"/>
      <c r="H36" s="256"/>
      <c r="I36" s="256"/>
      <c r="J36" s="256"/>
      <c r="K36" s="256"/>
      <c r="L36" s="256"/>
      <c r="M36" s="256"/>
      <c r="N36" s="256"/>
      <c r="O36" s="256"/>
      <c r="P36" s="256"/>
      <c r="Q36" s="2"/>
      <c r="R36" s="333" t="s">
        <v>3</v>
      </c>
      <c r="S36" s="333"/>
      <c r="T36" s="333"/>
      <c r="U36" s="333"/>
      <c r="V36" s="2"/>
      <c r="W36" s="255" t="s">
        <v>3</v>
      </c>
      <c r="X36" s="255"/>
      <c r="Y36" s="255"/>
      <c r="Z36" s="255"/>
      <c r="AB36" s="119"/>
      <c r="AC36" s="119"/>
      <c r="AD36" s="119"/>
      <c r="AE36" s="2"/>
      <c r="AF36" s="119"/>
      <c r="AG36" s="119"/>
      <c r="AH36" s="119"/>
      <c r="AI36" s="119"/>
      <c r="AJ36" s="119"/>
      <c r="AK36" s="119"/>
    </row>
    <row r="37" spans="2:61" ht="18.75" customHeight="1" x14ac:dyDescent="0.25">
      <c r="B37" s="256" t="s">
        <v>28</v>
      </c>
      <c r="C37" s="256"/>
      <c r="D37" s="256"/>
      <c r="E37" s="256"/>
      <c r="F37" s="256"/>
      <c r="G37" s="256"/>
      <c r="H37" s="256"/>
      <c r="I37" s="256"/>
      <c r="J37" s="256"/>
      <c r="K37" s="256"/>
      <c r="L37" s="256"/>
      <c r="M37" s="256"/>
      <c r="N37" s="256"/>
      <c r="O37" s="256"/>
      <c r="P37" s="256"/>
      <c r="Q37" s="2"/>
      <c r="R37" s="255"/>
      <c r="S37" s="255"/>
      <c r="T37" s="255"/>
      <c r="U37" s="255"/>
      <c r="V37" s="2"/>
      <c r="W37" s="255"/>
      <c r="X37" s="255"/>
      <c r="Y37" s="255"/>
      <c r="Z37" s="255"/>
      <c r="AB37" s="119"/>
      <c r="AC37" s="119"/>
      <c r="AD37" s="119"/>
      <c r="AE37" s="2"/>
      <c r="AF37" s="119"/>
      <c r="AG37" s="119"/>
      <c r="AH37" s="119"/>
      <c r="AI37" s="119"/>
      <c r="AJ37" s="119"/>
      <c r="AK37" s="119"/>
    </row>
    <row r="38" spans="2:61" ht="18.75" customHeight="1" x14ac:dyDescent="0.25">
      <c r="B38" s="256" t="s">
        <v>109</v>
      </c>
      <c r="C38" s="256"/>
      <c r="D38" s="256"/>
      <c r="E38" s="256"/>
      <c r="F38" s="256"/>
      <c r="G38" s="256"/>
      <c r="H38" s="256"/>
      <c r="I38" s="256"/>
      <c r="J38" s="256"/>
      <c r="K38" s="256"/>
      <c r="L38" s="256"/>
      <c r="M38" s="256"/>
      <c r="N38" s="256"/>
      <c r="O38" s="256"/>
      <c r="P38" s="256"/>
      <c r="R38" s="257" t="str">
        <f ca="1">IFERROR(VLOOKUP($R$37,INDIRECT($R$36&amp;"T"),2,),"")</f>
        <v/>
      </c>
      <c r="S38" s="257"/>
      <c r="T38" s="257"/>
      <c r="U38" s="257"/>
      <c r="W38" s="257" t="str">
        <f ca="1">IFERROR(VLOOKUP($W$37,INDIRECT($W$36&amp;"T"),2,),"")</f>
        <v/>
      </c>
      <c r="X38" s="257"/>
      <c r="Y38" s="257"/>
      <c r="Z38" s="257"/>
      <c r="AB38" s="119"/>
      <c r="AC38" s="119"/>
      <c r="AD38" s="119"/>
      <c r="AE38" s="119"/>
      <c r="AF38" s="119"/>
      <c r="AG38" s="119"/>
      <c r="AH38" s="119"/>
      <c r="AI38" s="119"/>
      <c r="AJ38" s="119"/>
      <c r="AK38" s="119"/>
    </row>
    <row r="39" spans="2:61" ht="18.75" customHeight="1" x14ac:dyDescent="0.25">
      <c r="B39" s="2"/>
      <c r="C39" s="2"/>
      <c r="D39" s="2"/>
      <c r="S39" s="2"/>
      <c r="AB39" s="119"/>
      <c r="AC39" s="119"/>
      <c r="AD39" s="119"/>
      <c r="AE39" s="119"/>
      <c r="AF39" s="119"/>
      <c r="AG39" s="119"/>
      <c r="AH39" s="119"/>
      <c r="AI39" s="119"/>
      <c r="AJ39" s="119"/>
      <c r="AK39" s="119"/>
    </row>
    <row r="40" spans="2:61" ht="18.75" customHeight="1" x14ac:dyDescent="0.25">
      <c r="B40" s="256" t="s">
        <v>471</v>
      </c>
      <c r="C40" s="256"/>
      <c r="D40" s="256"/>
      <c r="E40" s="256"/>
      <c r="F40" s="256"/>
      <c r="G40" s="256"/>
      <c r="H40" s="256"/>
      <c r="I40" s="256"/>
      <c r="J40" s="256"/>
      <c r="K40" s="256"/>
      <c r="L40" s="256"/>
      <c r="M40" s="256"/>
      <c r="N40" s="256"/>
      <c r="O40" s="256"/>
      <c r="P40" s="256"/>
      <c r="R40" s="294" t="str">
        <f ca="1">IFERROR(VLOOKUP($R$33,INDIRECT($R$32&amp;"T"),2,)*$W$16,"")</f>
        <v/>
      </c>
      <c r="S40" s="294"/>
      <c r="T40" s="294"/>
      <c r="U40" s="294"/>
      <c r="W40" s="294" t="str">
        <f ca="1">IFERROR(VLOOKUP($W$33,INDIRECT($W$32&amp;"T"),2,)*$W$16,"")</f>
        <v/>
      </c>
      <c r="X40" s="294"/>
      <c r="Y40" s="294"/>
      <c r="Z40" s="294"/>
      <c r="AB40" s="119"/>
      <c r="AC40" s="119"/>
      <c r="AD40" s="119"/>
      <c r="AE40" s="2"/>
      <c r="AF40" s="119"/>
      <c r="AG40" s="119"/>
      <c r="AH40" s="119"/>
      <c r="AI40" s="119"/>
      <c r="AJ40" s="119"/>
      <c r="AK40" s="119"/>
    </row>
    <row r="41" spans="2:61" ht="18.75" customHeight="1" x14ac:dyDescent="0.25">
      <c r="B41" s="256" t="s">
        <v>472</v>
      </c>
      <c r="C41" s="256"/>
      <c r="D41" s="256"/>
      <c r="E41" s="256"/>
      <c r="F41" s="256"/>
      <c r="G41" s="256"/>
      <c r="H41" s="256"/>
      <c r="I41" s="256"/>
      <c r="J41" s="256"/>
      <c r="K41" s="256"/>
      <c r="L41" s="256"/>
      <c r="M41" s="256"/>
      <c r="N41" s="256"/>
      <c r="O41" s="256"/>
      <c r="P41" s="256"/>
      <c r="R41" s="294">
        <f ca="1">IFERROR(VLOOKUP($R$37,INDIRECT($R$36&amp;"T"),2,)*$W$16,0)</f>
        <v>0</v>
      </c>
      <c r="S41" s="294"/>
      <c r="T41" s="294"/>
      <c r="U41" s="294"/>
      <c r="W41" s="294">
        <f ca="1">IFERROR(VLOOKUP($W$37,INDIRECT($W$36&amp;"T"),2,)*$W$16,0)</f>
        <v>0</v>
      </c>
      <c r="X41" s="294"/>
      <c r="Y41" s="294"/>
      <c r="Z41" s="294"/>
      <c r="AB41" s="119"/>
      <c r="AC41" s="119"/>
      <c r="AD41" s="119"/>
      <c r="AE41" s="2"/>
      <c r="AF41" s="119"/>
      <c r="AG41" s="119"/>
      <c r="AH41" s="119"/>
      <c r="AI41" s="119"/>
      <c r="AJ41" s="119"/>
      <c r="AK41" s="119"/>
    </row>
    <row r="42" spans="2:61" ht="18.75" customHeight="1" x14ac:dyDescent="0.25">
      <c r="B42" s="34"/>
      <c r="C42" s="34"/>
      <c r="D42" s="34"/>
      <c r="E42" s="34"/>
      <c r="F42" s="34"/>
      <c r="G42" s="34"/>
      <c r="H42" s="34"/>
      <c r="I42" s="34"/>
      <c r="J42" s="34"/>
      <c r="K42" s="34"/>
      <c r="L42" s="34"/>
      <c r="M42" s="34"/>
      <c r="N42" s="34"/>
      <c r="O42" s="34"/>
      <c r="P42" s="34"/>
      <c r="AB42" s="119"/>
      <c r="AC42" s="119"/>
      <c r="AD42" s="119"/>
      <c r="AE42" s="2"/>
      <c r="AF42" s="119"/>
      <c r="AG42" s="119"/>
      <c r="AH42" s="119"/>
      <c r="AI42" s="119"/>
      <c r="AJ42" s="119"/>
      <c r="AK42" s="119"/>
    </row>
    <row r="43" spans="2:61" ht="18.75" customHeight="1" x14ac:dyDescent="0.25">
      <c r="B43" s="286" t="s">
        <v>469</v>
      </c>
      <c r="C43" s="286"/>
      <c r="D43" s="286"/>
      <c r="E43" s="286"/>
      <c r="F43" s="286"/>
      <c r="G43" s="286"/>
      <c r="H43" s="286"/>
      <c r="I43" s="286"/>
      <c r="J43" s="286"/>
      <c r="K43" s="286"/>
      <c r="L43" s="286"/>
      <c r="M43" s="34"/>
      <c r="N43" s="34"/>
      <c r="R43" s="261" t="s">
        <v>7</v>
      </c>
      <c r="S43" s="262"/>
      <c r="T43" s="262"/>
      <c r="U43" s="263"/>
      <c r="Z43" s="17"/>
      <c r="AA43" s="17"/>
      <c r="AB43" s="343" t="s">
        <v>687</v>
      </c>
      <c r="AC43" s="344"/>
      <c r="AD43" s="344"/>
      <c r="AE43" s="344"/>
      <c r="AF43" s="344"/>
      <c r="AG43" s="344"/>
      <c r="AH43" s="344"/>
      <c r="AI43" s="344"/>
      <c r="AJ43" s="344"/>
      <c r="AK43" s="345"/>
    </row>
    <row r="44" spans="2:61" ht="18.75" customHeight="1" x14ac:dyDescent="0.25">
      <c r="B44" s="78"/>
      <c r="C44" s="78"/>
      <c r="D44" s="78"/>
      <c r="E44" s="78"/>
      <c r="F44" s="78"/>
      <c r="G44" s="78"/>
      <c r="H44" s="78"/>
      <c r="I44" s="78"/>
      <c r="M44" s="34"/>
      <c r="N44" s="34"/>
      <c r="R44" s="79"/>
      <c r="AB44" s="346"/>
      <c r="AC44" s="347"/>
      <c r="AD44" s="347"/>
      <c r="AE44" s="347"/>
      <c r="AF44" s="347"/>
      <c r="AG44" s="347"/>
      <c r="AH44" s="347"/>
      <c r="AI44" s="347"/>
      <c r="AJ44" s="347"/>
      <c r="AK44" s="348"/>
      <c r="BC44" s="32"/>
      <c r="BD44" s="32"/>
      <c r="BE44" s="32"/>
      <c r="BF44" s="32"/>
      <c r="BG44" s="32"/>
      <c r="BH44" s="32"/>
      <c r="BI44" s="32"/>
    </row>
    <row r="45" spans="2:61" ht="18.75" customHeight="1" x14ac:dyDescent="0.25">
      <c r="J45" s="264" t="s">
        <v>397</v>
      </c>
      <c r="K45" s="265"/>
      <c r="L45" s="266"/>
      <c r="M45" s="34"/>
      <c r="N45" s="264" t="s">
        <v>398</v>
      </c>
      <c r="O45" s="265"/>
      <c r="P45" s="266"/>
      <c r="AB45" s="346"/>
      <c r="AC45" s="347"/>
      <c r="AD45" s="347"/>
      <c r="AE45" s="347"/>
      <c r="AF45" s="347"/>
      <c r="AG45" s="347"/>
      <c r="AH45" s="347"/>
      <c r="AI45" s="347"/>
      <c r="AJ45" s="347"/>
      <c r="AK45" s="348"/>
      <c r="AP45" s="17"/>
      <c r="AR45" s="17"/>
      <c r="AS45" s="89"/>
      <c r="AT45" s="17"/>
      <c r="AU45" s="17"/>
      <c r="AV45" s="17"/>
      <c r="AW45" s="17"/>
      <c r="AX45" s="17"/>
      <c r="AY45" s="17"/>
      <c r="AZ45" s="17"/>
      <c r="BA45" s="17"/>
    </row>
    <row r="46" spans="2:61" ht="18.75" customHeight="1" x14ac:dyDescent="0.25">
      <c r="B46" s="2"/>
      <c r="C46" s="2"/>
      <c r="D46" s="2"/>
      <c r="J46" s="267"/>
      <c r="K46" s="268"/>
      <c r="L46" s="269"/>
      <c r="N46" s="267"/>
      <c r="O46" s="268"/>
      <c r="P46" s="269"/>
      <c r="R46" s="23"/>
      <c r="W46" s="23"/>
      <c r="AB46" s="349"/>
      <c r="AC46" s="350"/>
      <c r="AD46" s="350"/>
      <c r="AE46" s="350"/>
      <c r="AF46" s="350"/>
      <c r="AG46" s="350"/>
      <c r="AH46" s="350"/>
      <c r="AI46" s="350"/>
      <c r="AJ46" s="350"/>
      <c r="AK46" s="351"/>
    </row>
    <row r="47" spans="2:61" ht="18.75" customHeight="1" x14ac:dyDescent="0.25">
      <c r="B47" s="258" t="s">
        <v>434</v>
      </c>
      <c r="C47" s="259"/>
      <c r="D47" s="259"/>
      <c r="E47" s="259"/>
      <c r="F47" s="259"/>
      <c r="G47" s="259"/>
      <c r="H47" s="260"/>
      <c r="J47" s="337"/>
      <c r="K47" s="338"/>
      <c r="L47" s="339"/>
      <c r="N47" s="274">
        <f>IF(J47="",0,J47)</f>
        <v>0</v>
      </c>
      <c r="O47" s="275"/>
      <c r="P47" s="276"/>
      <c r="R47" s="270" t="str">
        <f>IFERROR(IF($R$43="No",$R$19/($R$29*$R$27),""),"")</f>
        <v/>
      </c>
      <c r="S47" s="270"/>
      <c r="T47" s="270"/>
      <c r="U47" s="270"/>
      <c r="W47" s="270" t="str">
        <f>IFERROR(IF($R$43="No",$W$19/($W$29*$W$27),""),"")</f>
        <v/>
      </c>
      <c r="X47" s="270"/>
      <c r="Y47" s="270"/>
      <c r="Z47" s="270"/>
      <c r="AI47" s="33"/>
      <c r="AJ47" s="33"/>
      <c r="AO47" s="2"/>
    </row>
    <row r="48" spans="2:61" ht="18.75" customHeight="1" x14ac:dyDescent="0.25">
      <c r="B48" s="258" t="s">
        <v>435</v>
      </c>
      <c r="C48" s="259"/>
      <c r="D48" s="259"/>
      <c r="E48" s="259"/>
      <c r="F48" s="259"/>
      <c r="G48" s="259"/>
      <c r="H48" s="260"/>
      <c r="J48" s="337"/>
      <c r="K48" s="338"/>
      <c r="L48" s="339"/>
      <c r="N48" s="274">
        <f>J48</f>
        <v>0</v>
      </c>
      <c r="O48" s="275"/>
      <c r="P48" s="276"/>
      <c r="R48" s="270" t="str">
        <f>IFERROR(IF(AND($R$29&gt;=2,$R$43="No"), $R$19/($R$29*$R$27), 0),"")</f>
        <v/>
      </c>
      <c r="S48" s="270"/>
      <c r="T48" s="270"/>
      <c r="U48" s="270"/>
      <c r="W48" s="270" t="str">
        <f>IFERROR(IF(AND($W$29&gt;=2,$R$43="No"), $W$19/($W$29*$W$27), 0),"")</f>
        <v/>
      </c>
      <c r="X48" s="270"/>
      <c r="Y48" s="270"/>
      <c r="Z48" s="270"/>
      <c r="AI48" s="33"/>
      <c r="AJ48" s="33"/>
      <c r="AO48" s="2"/>
    </row>
    <row r="49" spans="1:54" ht="18.75" customHeight="1" x14ac:dyDescent="0.25">
      <c r="B49" s="258" t="s">
        <v>436</v>
      </c>
      <c r="C49" s="259"/>
      <c r="D49" s="259"/>
      <c r="E49" s="259"/>
      <c r="F49" s="259"/>
      <c r="G49" s="259"/>
      <c r="H49" s="260"/>
      <c r="J49" s="337"/>
      <c r="K49" s="338"/>
      <c r="L49" s="339"/>
      <c r="N49" s="274">
        <f t="shared" ref="N49" si="1">J49</f>
        <v>0</v>
      </c>
      <c r="O49" s="275"/>
      <c r="P49" s="276"/>
      <c r="R49" s="270" t="str">
        <f>IFERROR(IF(AND($R$29&gt;=3,$R$43="No"), $R$19/($R$29*$R$27), 0),"")</f>
        <v/>
      </c>
      <c r="S49" s="270"/>
      <c r="T49" s="270"/>
      <c r="U49" s="270"/>
      <c r="W49" s="270" t="str">
        <f>IFERROR(IF(AND($W$29&gt;=3,$R$43="No"), $W$19/($W$29*$W$27), 0),"")</f>
        <v/>
      </c>
      <c r="X49" s="270"/>
      <c r="Y49" s="270"/>
      <c r="Z49" s="270"/>
      <c r="AD49" s="10"/>
      <c r="AO49" s="2"/>
    </row>
    <row r="50" spans="1:54" ht="18.75" customHeight="1" x14ac:dyDescent="0.25">
      <c r="B50" s="258" t="s">
        <v>437</v>
      </c>
      <c r="C50" s="259"/>
      <c r="D50" s="259"/>
      <c r="E50" s="259"/>
      <c r="F50" s="259"/>
      <c r="G50" s="259"/>
      <c r="H50" s="260"/>
      <c r="J50" s="274">
        <f>IFERROR(IF(OR(R30=0,R30="--Select--"),0,IF(AND(R29=1,R30=1),J47,IF(MAX($J$47:$L$49)/MIN(J47:L49)&gt;1.15, SQRT($J$47^2+$J$48^2+$J$49^2-$J$47*$J$48-$J$48*$J$49-$J$49*$J$47),$J$47*0.15))),"")</f>
        <v>0</v>
      </c>
      <c r="K50" s="275"/>
      <c r="L50" s="276"/>
      <c r="N50" s="274">
        <f>IFERROR(IF(OR(W30=0,W30="--Select--"),0,IF(AND(W29=1,W30=1),N47,IF(MAX($N$47:$P$49)/MIN(N47:P49)&gt;1.15, SQRT($N$47^2+$N$48^2+$N$49^2-$N$47*$N$48-$N$48*$N$49-$N$49*$N$47),$N$47*0.15))),"")</f>
        <v>0</v>
      </c>
      <c r="O50" s="275"/>
      <c r="P50" s="276"/>
      <c r="R50" s="270">
        <f>IFERROR(IF(OR(R30=0,R30="--Select--",R43="Yes"),0,IF(AND(R29=1,R30=1),R47,0.15*$R$47)),"")</f>
        <v>0</v>
      </c>
      <c r="S50" s="270"/>
      <c r="T50" s="270"/>
      <c r="U50" s="270"/>
      <c r="W50" s="270">
        <f>IFERROR(IF(OR(W30=0,W30="--Select--",R43="Yes"),0,IF(AND(W29=1,W30=1),W47,0.15*$W$47)),"")</f>
        <v>0</v>
      </c>
      <c r="X50" s="270"/>
      <c r="Y50" s="270"/>
      <c r="Z50" s="270"/>
      <c r="AD50" s="17"/>
      <c r="AM50" s="6"/>
      <c r="AO50" s="2"/>
      <c r="BA50" s="17"/>
      <c r="BB50" s="17"/>
    </row>
    <row r="51" spans="1:54" ht="18.75" customHeight="1" x14ac:dyDescent="0.25">
      <c r="B51" s="258" t="s">
        <v>501</v>
      </c>
      <c r="C51" s="259"/>
      <c r="D51" s="259"/>
      <c r="E51" s="259"/>
      <c r="F51" s="259"/>
      <c r="G51" s="259"/>
      <c r="H51" s="260"/>
      <c r="J51" s="290" t="str">
        <f ca="1">IFERROR((J47*R25)^2*R40+(J48*R25)^2*R40+(J49*R25)^2*R40+(J50*R25)^2*R41,"")</f>
        <v/>
      </c>
      <c r="K51" s="291"/>
      <c r="L51" s="292"/>
      <c r="N51" s="290" t="str">
        <f ca="1">IFERROR((N47*W25)^2*W40+(N48*W25)^2*W40+(N49*W25)^2*W40+(N50*W25)^2*W41,"")</f>
        <v/>
      </c>
      <c r="O51" s="291"/>
      <c r="P51" s="292"/>
      <c r="Q51" s="2"/>
      <c r="R51" s="293" t="str">
        <f ca="1">IFERROR((R47*R25)^2*R40+(R48*R25)^2*R40+(R49*R25)^2*R40+(R50*R25)^2*R41,"")</f>
        <v/>
      </c>
      <c r="S51" s="293"/>
      <c r="T51" s="293"/>
      <c r="U51" s="293"/>
      <c r="V51" s="67"/>
      <c r="W51" s="293" t="str">
        <f ca="1">IFERROR(IF(ISBLANK(W47), "",(W47*W25)^2*W40+(W48*W25)^2*W40+(W49*W25)^2*W40+(W50*W25)^2*W41),"")</f>
        <v/>
      </c>
      <c r="X51" s="293"/>
      <c r="Y51" s="293"/>
      <c r="Z51" s="293"/>
      <c r="AC51" s="83"/>
      <c r="AD51" s="17"/>
      <c r="AN51" s="2"/>
      <c r="AO51" s="2"/>
      <c r="BA51" s="17"/>
      <c r="BB51" s="17"/>
    </row>
    <row r="52" spans="1:54" ht="18.75" customHeight="1" x14ac:dyDescent="0.25">
      <c r="B52" s="34"/>
      <c r="C52" s="34"/>
      <c r="D52" s="34"/>
      <c r="E52" s="34"/>
      <c r="F52" s="34"/>
      <c r="G52" s="34"/>
      <c r="H52" s="34"/>
      <c r="AD52" s="141" t="s">
        <v>463</v>
      </c>
      <c r="AE52" s="141"/>
      <c r="AF52" s="141" t="s">
        <v>463</v>
      </c>
      <c r="AG52" s="141"/>
      <c r="AH52" s="144" t="s">
        <v>464</v>
      </c>
      <c r="AN52" s="2"/>
      <c r="AO52" s="2"/>
      <c r="AZ52" s="17"/>
      <c r="BA52" s="17"/>
      <c r="BB52" s="17"/>
    </row>
    <row r="53" spans="1:54" ht="18.75" customHeight="1" x14ac:dyDescent="0.35">
      <c r="A53" s="10"/>
      <c r="B53" s="2"/>
      <c r="C53" s="2"/>
      <c r="D53" s="2"/>
      <c r="J53" s="271" t="str">
        <f>IFERROR(IF(ABS((J47*R27+J48*R27+J49*R27)-R19)/R19&gt;0.1,"ERROR",""),"")</f>
        <v/>
      </c>
      <c r="K53" s="272"/>
      <c r="L53" s="273"/>
      <c r="N53" s="271" t="str">
        <f>IFERROR(IF(ABS((N47*R27+N48*R27+N49*R27)-R19)/R19&gt;0.1,"ERROR",""),"")</f>
        <v/>
      </c>
      <c r="O53" s="272"/>
      <c r="P53" s="273"/>
      <c r="R53" s="334" t="str">
        <f>IF($R$43="Yes",IF(OR(J53="ERROR",N53="ERROR"),"*Currents do not equal kVA value*",IF(AH53=FALSE,"*Current sums do not match*","")),"")</f>
        <v/>
      </c>
      <c r="S53" s="335"/>
      <c r="T53" s="335"/>
      <c r="U53" s="335"/>
      <c r="V53" s="335"/>
      <c r="W53" s="335"/>
      <c r="X53" s="335"/>
      <c r="Y53" s="335"/>
      <c r="Z53" s="335"/>
      <c r="AC53" s="10"/>
      <c r="AD53" s="142">
        <f>SUM(J47:L49)</f>
        <v>0</v>
      </c>
      <c r="AE53" s="143"/>
      <c r="AF53" s="142">
        <f>SUM(N47:P49)</f>
        <v>0</v>
      </c>
      <c r="AG53" s="141"/>
      <c r="AH53" s="144" t="b">
        <f>AD53=AF53</f>
        <v>1</v>
      </c>
      <c r="AZ53" s="17"/>
      <c r="BA53" s="17"/>
    </row>
    <row r="54" spans="1:54" ht="18.75" customHeight="1" x14ac:dyDescent="0.25">
      <c r="B54" s="2"/>
      <c r="C54" s="2"/>
      <c r="D54" s="2"/>
      <c r="W54" s="59"/>
      <c r="AZ54" s="17"/>
      <c r="BA54" s="17"/>
      <c r="BB54" s="17"/>
    </row>
    <row r="55" spans="1:54" ht="18.75" customHeight="1" x14ac:dyDescent="0.25">
      <c r="B55" s="295" t="s">
        <v>441</v>
      </c>
      <c r="C55" s="295"/>
      <c r="D55" s="295"/>
      <c r="E55" s="295"/>
      <c r="F55" s="295"/>
      <c r="G55" s="295"/>
      <c r="H55" s="295"/>
      <c r="I55" s="295"/>
      <c r="J55" s="295"/>
      <c r="K55" s="295"/>
      <c r="L55" s="295"/>
      <c r="M55" s="295"/>
      <c r="N55" s="295"/>
      <c r="O55" s="295"/>
      <c r="P55" s="295"/>
      <c r="Q55" s="2"/>
      <c r="R55" s="293" t="str">
        <f ca="1">IFERROR(IF(R43="No",$R$24*8760*$R$51/1000,$R$24*8760*$J$51/1000),"")</f>
        <v/>
      </c>
      <c r="S55" s="293"/>
      <c r="T55" s="293"/>
      <c r="U55" s="293"/>
      <c r="V55" s="67"/>
      <c r="W55" s="293" t="str">
        <f ca="1">IFERROR(IF(R43="No",$W$24*8760*$W$51/1000, $W$24*8760*$N$51/1000),"")</f>
        <v/>
      </c>
      <c r="X55" s="293"/>
      <c r="Y55" s="293"/>
      <c r="Z55" s="293"/>
    </row>
    <row r="56" spans="1:54" ht="18.75" customHeight="1" thickBot="1" x14ac:dyDescent="0.3">
      <c r="B56" s="2"/>
      <c r="C56" s="2"/>
      <c r="D56" s="2"/>
      <c r="Q56" s="2"/>
      <c r="S56" s="2"/>
      <c r="V56" s="2"/>
      <c r="AZ56" s="17"/>
      <c r="BA56" s="17"/>
      <c r="BB56" s="17"/>
    </row>
    <row r="57" spans="1:54" ht="18.75" customHeight="1" thickBot="1" x14ac:dyDescent="0.3">
      <c r="B57" s="280" t="s">
        <v>485</v>
      </c>
      <c r="C57" s="281"/>
      <c r="D57" s="281"/>
      <c r="E57" s="281"/>
      <c r="F57" s="281"/>
      <c r="G57" s="281"/>
      <c r="H57" s="281"/>
      <c r="I57" s="281"/>
      <c r="J57" s="281"/>
      <c r="K57" s="281"/>
      <c r="L57" s="281"/>
      <c r="M57" s="281"/>
      <c r="N57" s="281"/>
      <c r="O57" s="281"/>
      <c r="P57" s="282"/>
      <c r="R57" s="283" t="str">
        <f ca="1">IFERROR($R$55-$W$55,"")</f>
        <v/>
      </c>
      <c r="S57" s="284"/>
      <c r="T57" s="284"/>
      <c r="U57" s="284"/>
      <c r="V57" s="284"/>
      <c r="W57" s="284"/>
      <c r="X57" s="284"/>
      <c r="Y57" s="284"/>
      <c r="Z57" s="285"/>
      <c r="AB57" s="373" t="s">
        <v>487</v>
      </c>
      <c r="AC57" s="374"/>
      <c r="AD57" s="374"/>
      <c r="AE57" s="375"/>
    </row>
    <row r="58" spans="1:54" ht="18.75" customHeight="1" thickBot="1" x14ac:dyDescent="0.3">
      <c r="B58" s="280" t="s">
        <v>486</v>
      </c>
      <c r="C58" s="281"/>
      <c r="D58" s="281"/>
      <c r="E58" s="281"/>
      <c r="F58" s="281"/>
      <c r="G58" s="281"/>
      <c r="H58" s="281"/>
      <c r="I58" s="281"/>
      <c r="J58" s="281"/>
      <c r="K58" s="281"/>
      <c r="L58" s="281"/>
      <c r="M58" s="281"/>
      <c r="N58" s="281"/>
      <c r="O58" s="281"/>
      <c r="P58" s="282"/>
      <c r="R58" s="283" t="str">
        <f ca="1">IFERROR($R$57*AB58,"")</f>
        <v/>
      </c>
      <c r="S58" s="284"/>
      <c r="T58" s="284"/>
      <c r="U58" s="284"/>
      <c r="V58" s="284"/>
      <c r="W58" s="284"/>
      <c r="X58" s="284"/>
      <c r="Y58" s="284"/>
      <c r="Z58" s="285"/>
      <c r="AB58" s="376">
        <v>1.09056</v>
      </c>
      <c r="AC58" s="377"/>
      <c r="AD58" s="377"/>
      <c r="AE58" s="378"/>
    </row>
    <row r="59" spans="1:54" ht="18.75" customHeight="1" thickBot="1" x14ac:dyDescent="0.3">
      <c r="AB59" s="2"/>
    </row>
    <row r="60" spans="1:54" ht="18.75" customHeight="1" thickBot="1" x14ac:dyDescent="0.3">
      <c r="B60" s="287" t="s">
        <v>539</v>
      </c>
      <c r="C60" s="288"/>
      <c r="D60" s="288"/>
      <c r="E60" s="288"/>
      <c r="F60" s="288"/>
      <c r="G60" s="288"/>
      <c r="H60" s="288"/>
      <c r="I60" s="288"/>
      <c r="J60" s="288"/>
      <c r="K60" s="288"/>
      <c r="L60" s="288"/>
      <c r="M60" s="288"/>
      <c r="N60" s="288"/>
      <c r="O60" s="288"/>
      <c r="P60" s="289"/>
      <c r="R60" s="252"/>
      <c r="S60" s="253"/>
      <c r="T60" s="253"/>
      <c r="U60" s="253"/>
      <c r="V60" s="253"/>
      <c r="W60" s="253"/>
      <c r="X60" s="253"/>
      <c r="Y60" s="253"/>
      <c r="Z60" s="254"/>
    </row>
    <row r="61" spans="1:54" ht="18.75" customHeight="1" x14ac:dyDescent="0.25">
      <c r="AF61" s="17"/>
    </row>
    <row r="62" spans="1:54" ht="18.75" customHeight="1" x14ac:dyDescent="0.25">
      <c r="B62" s="81" t="s">
        <v>32</v>
      </c>
      <c r="C62" s="17"/>
      <c r="D62" s="17"/>
      <c r="E62" s="17"/>
      <c r="F62" s="17"/>
      <c r="G62" s="17"/>
      <c r="H62" s="17"/>
      <c r="I62" s="17"/>
      <c r="J62" s="17"/>
      <c r="K62" s="17"/>
      <c r="L62" s="5"/>
      <c r="M62" s="5"/>
      <c r="N62" s="5"/>
      <c r="O62" s="5"/>
      <c r="P62" s="5"/>
      <c r="Q62" s="5"/>
      <c r="R62" s="5"/>
      <c r="S62" s="5"/>
      <c r="T62" s="5"/>
      <c r="U62" s="5"/>
      <c r="V62" s="5"/>
    </row>
    <row r="63" spans="1:54" ht="18.75" customHeight="1" thickBot="1" x14ac:dyDescent="0.3">
      <c r="B63" s="69" t="s">
        <v>479</v>
      </c>
      <c r="C63" s="70"/>
      <c r="D63" s="70"/>
      <c r="E63" s="70"/>
      <c r="F63" s="70"/>
      <c r="G63" s="70"/>
      <c r="H63" s="70"/>
      <c r="I63" s="70"/>
      <c r="J63" s="70"/>
      <c r="K63" s="70"/>
      <c r="L63" s="70"/>
      <c r="M63" s="70"/>
      <c r="N63" s="74"/>
      <c r="O63" s="70"/>
      <c r="P63" s="70"/>
      <c r="Q63" s="70"/>
      <c r="R63" s="70"/>
      <c r="S63" s="248" t="s">
        <v>476</v>
      </c>
      <c r="T63" s="248"/>
      <c r="U63" s="248"/>
      <c r="V63" s="249"/>
    </row>
    <row r="64" spans="1:54" ht="18.75" customHeight="1" x14ac:dyDescent="0.25">
      <c r="B64" s="71" t="s">
        <v>475</v>
      </c>
      <c r="C64" s="72"/>
      <c r="D64" s="72"/>
      <c r="E64" s="72"/>
      <c r="F64" s="72"/>
      <c r="G64" s="72"/>
      <c r="H64" s="72"/>
      <c r="I64" s="72"/>
      <c r="J64" s="72"/>
      <c r="K64" s="72"/>
      <c r="L64" s="72"/>
      <c r="M64" s="72"/>
      <c r="N64" s="72"/>
      <c r="O64" s="72"/>
      <c r="P64" s="72"/>
      <c r="Q64" s="72"/>
      <c r="R64" s="72"/>
      <c r="S64" s="250"/>
      <c r="T64" s="250"/>
      <c r="U64" s="250"/>
      <c r="V64" s="251"/>
    </row>
    <row r="65" spans="1:56" ht="18.75" customHeight="1" x14ac:dyDescent="0.25">
      <c r="B65" s="71" t="s">
        <v>477</v>
      </c>
      <c r="C65" s="72"/>
      <c r="D65" s="72"/>
      <c r="E65" s="72"/>
      <c r="F65" s="72"/>
      <c r="G65" s="72"/>
      <c r="H65" s="72"/>
      <c r="I65" s="72"/>
      <c r="J65" s="72"/>
      <c r="K65" s="72"/>
      <c r="L65" s="72"/>
      <c r="M65" s="72"/>
      <c r="N65" s="72"/>
      <c r="O65" s="72"/>
      <c r="P65" s="72"/>
      <c r="Q65" s="72"/>
      <c r="R65" s="72"/>
      <c r="S65" s="250"/>
      <c r="T65" s="250"/>
      <c r="U65" s="250"/>
      <c r="V65" s="251"/>
      <c r="X65" s="17"/>
      <c r="BD65" s="32"/>
    </row>
    <row r="66" spans="1:56" ht="18.75" customHeight="1" thickBot="1" x14ac:dyDescent="0.3">
      <c r="B66" s="71" t="s">
        <v>473</v>
      </c>
      <c r="C66" s="72"/>
      <c r="D66" s="72"/>
      <c r="E66" s="72"/>
      <c r="F66" s="72"/>
      <c r="G66" s="72"/>
      <c r="H66" s="72"/>
      <c r="I66" s="72"/>
      <c r="J66" s="72"/>
      <c r="K66" s="72"/>
      <c r="L66" s="72"/>
      <c r="M66" s="72"/>
      <c r="N66" s="72"/>
      <c r="O66" s="72"/>
      <c r="P66" s="72"/>
      <c r="Q66" s="72"/>
      <c r="R66" s="72"/>
      <c r="S66" s="250"/>
      <c r="T66" s="250"/>
      <c r="U66" s="250"/>
      <c r="V66" s="251"/>
      <c r="X66" s="32"/>
    </row>
    <row r="67" spans="1:56" ht="18.75" customHeight="1" thickBot="1" x14ac:dyDescent="0.3">
      <c r="B67" s="73" t="s">
        <v>478</v>
      </c>
      <c r="C67" s="72"/>
      <c r="D67" s="72"/>
      <c r="E67" s="72"/>
      <c r="F67" s="72"/>
      <c r="G67" s="72"/>
      <c r="H67" s="72"/>
      <c r="I67" s="72"/>
      <c r="J67" s="72"/>
      <c r="K67" s="72"/>
      <c r="L67" s="72"/>
      <c r="M67" s="72"/>
      <c r="N67" s="72"/>
      <c r="O67" s="72"/>
      <c r="P67" s="72"/>
      <c r="Q67" s="72"/>
      <c r="R67" s="72"/>
      <c r="S67" s="250"/>
      <c r="T67" s="250"/>
      <c r="U67" s="250"/>
      <c r="V67" s="251"/>
      <c r="X67" s="63"/>
      <c r="AC67" s="63"/>
      <c r="AH67" s="63"/>
      <c r="AM67" s="63"/>
    </row>
    <row r="68" spans="1:56" ht="18.75" customHeight="1" x14ac:dyDescent="0.25">
      <c r="B68" s="71" t="s">
        <v>474</v>
      </c>
      <c r="C68" s="72"/>
      <c r="D68" s="72"/>
      <c r="E68" s="72"/>
      <c r="F68" s="72"/>
      <c r="G68" s="72"/>
      <c r="H68" s="72"/>
      <c r="I68" s="72"/>
      <c r="J68" s="72"/>
      <c r="K68" s="72"/>
      <c r="L68" s="72"/>
      <c r="M68" s="72"/>
      <c r="N68" s="72"/>
      <c r="O68" s="72"/>
      <c r="P68" s="72"/>
      <c r="Q68" s="72"/>
      <c r="R68" s="72"/>
      <c r="S68" s="250"/>
      <c r="T68" s="250"/>
      <c r="U68" s="250"/>
      <c r="V68" s="251"/>
    </row>
    <row r="69" spans="1:56" ht="18.75" customHeight="1" x14ac:dyDescent="0.25">
      <c r="B69" s="71" t="s">
        <v>488</v>
      </c>
      <c r="C69" s="72"/>
      <c r="D69" s="72"/>
      <c r="E69" s="72"/>
      <c r="F69" s="72"/>
      <c r="G69" s="72"/>
      <c r="H69" s="72"/>
      <c r="I69" s="72"/>
      <c r="J69" s="72"/>
      <c r="K69" s="72"/>
      <c r="L69" s="72"/>
      <c r="M69" s="72"/>
      <c r="N69" s="72"/>
      <c r="O69" s="72"/>
      <c r="P69" s="72"/>
      <c r="Q69" s="72"/>
      <c r="R69" s="72"/>
      <c r="S69" s="250"/>
      <c r="T69" s="250"/>
      <c r="U69" s="250"/>
      <c r="V69" s="251"/>
    </row>
    <row r="70" spans="1:56" ht="18.75" customHeight="1" x14ac:dyDescent="0.25">
      <c r="B70" s="73" t="s">
        <v>489</v>
      </c>
      <c r="C70" s="72"/>
      <c r="D70" s="72"/>
      <c r="E70" s="72"/>
      <c r="F70" s="72"/>
      <c r="G70" s="72"/>
      <c r="H70" s="72"/>
      <c r="I70" s="72"/>
      <c r="J70" s="72"/>
      <c r="K70" s="72"/>
      <c r="L70" s="72"/>
      <c r="M70" s="72"/>
      <c r="N70" s="72"/>
      <c r="O70" s="72"/>
      <c r="P70" s="72"/>
      <c r="Q70" s="72"/>
      <c r="R70" s="72"/>
      <c r="S70" s="250"/>
      <c r="T70" s="250"/>
      <c r="U70" s="250"/>
      <c r="V70" s="251"/>
    </row>
    <row r="71" spans="1:56" ht="18.75" customHeight="1" x14ac:dyDescent="0.25">
      <c r="B71" s="75" t="s">
        <v>490</v>
      </c>
      <c r="C71" s="62"/>
      <c r="D71" s="62"/>
      <c r="E71" s="62"/>
      <c r="F71" s="62"/>
      <c r="G71" s="62"/>
      <c r="H71" s="62"/>
      <c r="I71" s="62"/>
      <c r="J71" s="62"/>
      <c r="K71" s="62"/>
      <c r="L71" s="62"/>
      <c r="M71" s="62"/>
      <c r="N71" s="62"/>
      <c r="O71" s="62"/>
      <c r="P71" s="62"/>
      <c r="Q71" s="62"/>
      <c r="R71" s="62"/>
      <c r="S71" s="62"/>
      <c r="T71" s="62"/>
      <c r="U71" s="62"/>
      <c r="V71" s="76"/>
    </row>
    <row r="72" spans="1:56" ht="18.75" customHeight="1" thickBot="1" x14ac:dyDescent="0.3">
      <c r="B72" s="146" t="s">
        <v>689</v>
      </c>
      <c r="W72" s="32"/>
      <c r="X72" s="32"/>
      <c r="Y72" s="32"/>
      <c r="Z72" s="32"/>
      <c r="AA72" s="32"/>
      <c r="AB72" s="32"/>
      <c r="AC72" s="32"/>
      <c r="AD72" s="32"/>
      <c r="AE72" s="32"/>
      <c r="AF72" s="32"/>
      <c r="AG72" s="32"/>
      <c r="AH72" s="32"/>
      <c r="AI72" s="32"/>
      <c r="AJ72" s="32"/>
      <c r="AK72" s="32"/>
      <c r="AL72" s="32"/>
    </row>
    <row r="73" spans="1:56" ht="18.75" customHeight="1" thickBot="1" x14ac:dyDescent="0.3">
      <c r="B73" s="280" t="s">
        <v>410</v>
      </c>
      <c r="C73" s="281"/>
      <c r="D73" s="281"/>
      <c r="E73" s="281"/>
      <c r="F73" s="281"/>
      <c r="G73" s="281"/>
      <c r="H73" s="281"/>
      <c r="I73" s="281"/>
      <c r="J73" s="281"/>
      <c r="K73" s="281"/>
      <c r="L73" s="281"/>
      <c r="M73" s="281"/>
      <c r="N73" s="281"/>
      <c r="O73" s="281"/>
      <c r="P73" s="282"/>
      <c r="R73" s="277" t="str">
        <f ca="1">IFERROR(IF(R58*J10&lt;(0.7*$R$60),R58*J10,0.7*$R$60),"")</f>
        <v/>
      </c>
      <c r="S73" s="278"/>
      <c r="T73" s="278"/>
      <c r="U73" s="278"/>
      <c r="V73" s="278"/>
      <c r="W73" s="278"/>
      <c r="X73" s="278"/>
      <c r="Y73" s="278"/>
      <c r="Z73" s="279"/>
      <c r="AA73" s="32"/>
      <c r="AB73" s="32"/>
      <c r="AC73" s="32"/>
      <c r="AD73" s="32"/>
      <c r="AE73" s="32"/>
      <c r="AF73" s="32"/>
      <c r="AG73" s="32"/>
      <c r="AH73" s="32"/>
      <c r="AI73" s="32"/>
      <c r="AJ73" s="32"/>
      <c r="AK73" s="32"/>
      <c r="AL73" s="32"/>
    </row>
    <row r="74" spans="1:56" ht="18.75" customHeight="1" thickBot="1" x14ac:dyDescent="0.3">
      <c r="B74" s="280" t="s">
        <v>411</v>
      </c>
      <c r="C74" s="281"/>
      <c r="D74" s="281"/>
      <c r="E74" s="281"/>
      <c r="F74" s="281"/>
      <c r="G74" s="281"/>
      <c r="H74" s="281"/>
      <c r="I74" s="281"/>
      <c r="J74" s="281"/>
      <c r="K74" s="281"/>
      <c r="L74" s="281"/>
      <c r="M74" s="281"/>
      <c r="N74" s="281"/>
      <c r="O74" s="281"/>
      <c r="P74" s="282"/>
      <c r="R74" s="277" t="str">
        <f ca="1">IFERROR(R73*Summary!$M$18,"")</f>
        <v/>
      </c>
      <c r="S74" s="278"/>
      <c r="T74" s="278"/>
      <c r="U74" s="278"/>
      <c r="V74" s="278"/>
      <c r="W74" s="278"/>
      <c r="X74" s="278"/>
      <c r="Y74" s="278"/>
      <c r="Z74" s="279"/>
      <c r="AO74" s="17"/>
    </row>
    <row r="75" spans="1:56" ht="18.75" customHeight="1" thickBot="1" x14ac:dyDescent="0.3">
      <c r="B75" s="280" t="s">
        <v>412</v>
      </c>
      <c r="C75" s="281"/>
      <c r="D75" s="281"/>
      <c r="E75" s="281"/>
      <c r="F75" s="281"/>
      <c r="G75" s="281"/>
      <c r="H75" s="281"/>
      <c r="I75" s="281"/>
      <c r="J75" s="281"/>
      <c r="K75" s="281"/>
      <c r="L75" s="281"/>
      <c r="M75" s="281"/>
      <c r="N75" s="281"/>
      <c r="O75" s="281"/>
      <c r="P75" s="282"/>
      <c r="R75" s="277" t="str">
        <f ca="1">IFERROR(R73*Summary!$M$19,"")</f>
        <v/>
      </c>
      <c r="S75" s="278"/>
      <c r="T75" s="278"/>
      <c r="U75" s="278"/>
      <c r="V75" s="278"/>
      <c r="W75" s="278"/>
      <c r="X75" s="278"/>
      <c r="Y75" s="278"/>
      <c r="Z75" s="279"/>
      <c r="AQ75" s="17"/>
    </row>
    <row r="76" spans="1:56" ht="18.75" customHeight="1" x14ac:dyDescent="0.25">
      <c r="AQ76" s="17"/>
    </row>
    <row r="77" spans="1:56" ht="18.75" customHeight="1" x14ac:dyDescent="0.25">
      <c r="A77" s="68" t="s">
        <v>484</v>
      </c>
    </row>
  </sheetData>
  <sheetProtection password="BD7D" sheet="1" scenarios="1"/>
  <mergeCells count="135">
    <mergeCell ref="AB19:AK21"/>
    <mergeCell ref="AB23:AK27"/>
    <mergeCell ref="AB43:AK46"/>
    <mergeCell ref="B6:G6"/>
    <mergeCell ref="B7:G7"/>
    <mergeCell ref="B8:G8"/>
    <mergeCell ref="R14:U15"/>
    <mergeCell ref="W14:Z15"/>
    <mergeCell ref="B15:P15"/>
    <mergeCell ref="B17:P17"/>
    <mergeCell ref="R17:U17"/>
    <mergeCell ref="W17:Z17"/>
    <mergeCell ref="B16:P16"/>
    <mergeCell ref="R16:U16"/>
    <mergeCell ref="W16:Z16"/>
    <mergeCell ref="B20:P20"/>
    <mergeCell ref="R20:U20"/>
    <mergeCell ref="W20:Z20"/>
    <mergeCell ref="B21:P21"/>
    <mergeCell ref="R21:U21"/>
    <mergeCell ref="W21:Z21"/>
    <mergeCell ref="B18:P18"/>
    <mergeCell ref="R18:U18"/>
    <mergeCell ref="W18:Z18"/>
    <mergeCell ref="AB2:AH2"/>
    <mergeCell ref="AB3:AH3"/>
    <mergeCell ref="AB4:AH4"/>
    <mergeCell ref="B4:G4"/>
    <mergeCell ref="B5:G5"/>
    <mergeCell ref="B12:U12"/>
    <mergeCell ref="W12:Z12"/>
    <mergeCell ref="B10:I10"/>
    <mergeCell ref="H4:Z4"/>
    <mergeCell ref="H5:Z5"/>
    <mergeCell ref="H6:Z6"/>
    <mergeCell ref="H7:Z7"/>
    <mergeCell ref="H8:Z8"/>
    <mergeCell ref="J10:Z10"/>
    <mergeCell ref="B19:P19"/>
    <mergeCell ref="R19:U19"/>
    <mergeCell ref="W19:Z19"/>
    <mergeCell ref="B25:P25"/>
    <mergeCell ref="R25:U25"/>
    <mergeCell ref="W25:Z25"/>
    <mergeCell ref="B23:P23"/>
    <mergeCell ref="R23:U23"/>
    <mergeCell ref="W23:Z23"/>
    <mergeCell ref="B24:P24"/>
    <mergeCell ref="R24:U24"/>
    <mergeCell ref="W24:Z24"/>
    <mergeCell ref="B30:P30"/>
    <mergeCell ref="R30:U30"/>
    <mergeCell ref="W30:Z30"/>
    <mergeCell ref="B31:P31"/>
    <mergeCell ref="R31:U31"/>
    <mergeCell ref="B32:P32"/>
    <mergeCell ref="R32:U32"/>
    <mergeCell ref="W32:Z32"/>
    <mergeCell ref="B27:P27"/>
    <mergeCell ref="R27:U27"/>
    <mergeCell ref="W27:Z27"/>
    <mergeCell ref="B29:P29"/>
    <mergeCell ref="R29:U29"/>
    <mergeCell ref="W29:Z29"/>
    <mergeCell ref="B36:P36"/>
    <mergeCell ref="R36:U36"/>
    <mergeCell ref="W36:Z36"/>
    <mergeCell ref="B37:P37"/>
    <mergeCell ref="R37:U37"/>
    <mergeCell ref="W37:Z37"/>
    <mergeCell ref="B33:P33"/>
    <mergeCell ref="R33:U33"/>
    <mergeCell ref="W33:Z33"/>
    <mergeCell ref="B34:P34"/>
    <mergeCell ref="R34:U34"/>
    <mergeCell ref="W34:Z34"/>
    <mergeCell ref="B41:P41"/>
    <mergeCell ref="R41:U41"/>
    <mergeCell ref="W41:Z41"/>
    <mergeCell ref="B43:L43"/>
    <mergeCell ref="R43:U43"/>
    <mergeCell ref="J45:L46"/>
    <mergeCell ref="N45:P46"/>
    <mergeCell ref="B38:P38"/>
    <mergeCell ref="R38:U38"/>
    <mergeCell ref="W38:Z38"/>
    <mergeCell ref="B40:P40"/>
    <mergeCell ref="R40:U40"/>
    <mergeCell ref="W40:Z40"/>
    <mergeCell ref="B48:H48"/>
    <mergeCell ref="J48:L48"/>
    <mergeCell ref="N48:P48"/>
    <mergeCell ref="R48:U48"/>
    <mergeCell ref="W48:Z48"/>
    <mergeCell ref="B47:H47"/>
    <mergeCell ref="J47:L47"/>
    <mergeCell ref="N47:P47"/>
    <mergeCell ref="R47:U47"/>
    <mergeCell ref="W47:Z47"/>
    <mergeCell ref="B49:H49"/>
    <mergeCell ref="J49:L49"/>
    <mergeCell ref="N49:P49"/>
    <mergeCell ref="R49:U49"/>
    <mergeCell ref="W49:Z49"/>
    <mergeCell ref="B50:H50"/>
    <mergeCell ref="J50:L50"/>
    <mergeCell ref="N50:P50"/>
    <mergeCell ref="R50:U50"/>
    <mergeCell ref="W50:Z50"/>
    <mergeCell ref="B55:P55"/>
    <mergeCell ref="R55:U55"/>
    <mergeCell ref="W55:Z55"/>
    <mergeCell ref="B57:P57"/>
    <mergeCell ref="R57:Z57"/>
    <mergeCell ref="AB57:AE57"/>
    <mergeCell ref="B51:H51"/>
    <mergeCell ref="J51:L51"/>
    <mergeCell ref="N51:P51"/>
    <mergeCell ref="R51:U51"/>
    <mergeCell ref="W51:Z51"/>
    <mergeCell ref="J53:L53"/>
    <mergeCell ref="N53:P53"/>
    <mergeCell ref="R53:Z53"/>
    <mergeCell ref="B75:P75"/>
    <mergeCell ref="R75:Z75"/>
    <mergeCell ref="S63:V70"/>
    <mergeCell ref="B58:P58"/>
    <mergeCell ref="R58:Z58"/>
    <mergeCell ref="AB58:AE58"/>
    <mergeCell ref="B73:P73"/>
    <mergeCell ref="R73:Z73"/>
    <mergeCell ref="B74:P74"/>
    <mergeCell ref="R74:Z74"/>
    <mergeCell ref="R60:Z60"/>
    <mergeCell ref="B60:P60"/>
  </mergeCells>
  <conditionalFormatting sqref="W12:Z12 R60 H5:H8">
    <cfRule type="expression" dxfId="142" priority="62">
      <formula>IF(OR(H5="--Select--",ISBLANK(H5)),TRUE,FALSE)</formula>
    </cfRule>
  </conditionalFormatting>
  <conditionalFormatting sqref="R20:U20 R18:U18">
    <cfRule type="expression" dxfId="141" priority="61">
      <formula>IF(OR(R18="--Select--",ISBLANK(R18)),TRUE,FALSE)</formula>
    </cfRule>
  </conditionalFormatting>
  <conditionalFormatting sqref="R27:U27">
    <cfRule type="expression" dxfId="140" priority="60">
      <formula>IF(OR(R27="--Select--",ISBLANK(R27)),TRUE,FALSE)</formula>
    </cfRule>
  </conditionalFormatting>
  <conditionalFormatting sqref="R29:U30">
    <cfRule type="expression" dxfId="139" priority="59">
      <formula>IF(OR(R29="--Select--",ISBLANK(R29)),TRUE,FALSE)</formula>
    </cfRule>
  </conditionalFormatting>
  <conditionalFormatting sqref="R32:U32">
    <cfRule type="expression" dxfId="138" priority="58">
      <formula>IF(OR(R32="--Select--",ISBLANK(R32)),TRUE,FALSE)</formula>
    </cfRule>
  </conditionalFormatting>
  <conditionalFormatting sqref="R36:U36">
    <cfRule type="expression" dxfId="137" priority="57">
      <formula>IF(OR(R36="--Select--",ISBLANK(R36)),TRUE,FALSE)</formula>
    </cfRule>
  </conditionalFormatting>
  <conditionalFormatting sqref="R37:U37">
    <cfRule type="expression" dxfId="136" priority="55">
      <formula>IF(R36="--Select--",TRUE,FALSE)</formula>
    </cfRule>
    <cfRule type="expression" dxfId="135" priority="56">
      <formula>IF(OR(R37="--Select--",ISBLANK(R36)),TRUE,FALSE)</formula>
    </cfRule>
  </conditionalFormatting>
  <conditionalFormatting sqref="W27:Z27">
    <cfRule type="expression" dxfId="134" priority="54">
      <formula>IF(OR(W27="--Select--",ISBLANK(W27)),TRUE,FALSE)</formula>
    </cfRule>
  </conditionalFormatting>
  <conditionalFormatting sqref="W29:Z30">
    <cfRule type="expression" dxfId="133" priority="53">
      <formula>IF(OR(W29="--Select--",ISBLANK(W29)),TRUE,FALSE)</formula>
    </cfRule>
  </conditionalFormatting>
  <conditionalFormatting sqref="W32:Z32">
    <cfRule type="expression" dxfId="132" priority="52">
      <formula>IF(OR(W32="--Select--",ISBLANK(W32)),TRUE,FALSE)</formula>
    </cfRule>
  </conditionalFormatting>
  <conditionalFormatting sqref="W36:Z36">
    <cfRule type="expression" dxfId="131" priority="51">
      <formula>IF(OR(W36="--Select--",ISBLANK(W36)),TRUE,FALSE)</formula>
    </cfRule>
  </conditionalFormatting>
  <conditionalFormatting sqref="W33:Z33">
    <cfRule type="expression" dxfId="130" priority="49">
      <formula>IF(W32="--Select--",TRUE,FALSE)</formula>
    </cfRule>
    <cfRule type="expression" dxfId="129" priority="50">
      <formula>IF(OR(W33="--Select--",ISBLANK(W32)),TRUE,FALSE)</formula>
    </cfRule>
  </conditionalFormatting>
  <conditionalFormatting sqref="W37:Z37">
    <cfRule type="expression" dxfId="128" priority="47">
      <formula>IF(W36="--Select--",TRUE,FALSE)</formula>
    </cfRule>
    <cfRule type="expression" dxfId="127" priority="48">
      <formula>IF(OR(W37="--Select--",ISBLANK(W36)),TRUE,FALSE)</formula>
    </cfRule>
  </conditionalFormatting>
  <conditionalFormatting sqref="H4">
    <cfRule type="expression" dxfId="126" priority="46">
      <formula>IF(OR(H4="--Select--",ISBLANK(H4)),TRUE,FALSE)</formula>
    </cfRule>
  </conditionalFormatting>
  <conditionalFormatting sqref="J47">
    <cfRule type="expression" dxfId="125" priority="760">
      <formula>IF(ISBLANK(J47),TRUE,FALSE)</formula>
    </cfRule>
  </conditionalFormatting>
  <conditionalFormatting sqref="J48">
    <cfRule type="expression" dxfId="124" priority="63">
      <formula>IF(ISBLANK(J48),TRUE,FALSE)</formula>
    </cfRule>
  </conditionalFormatting>
  <conditionalFormatting sqref="J49">
    <cfRule type="expression" dxfId="123" priority="45">
      <formula>IF(ISBLANK(J49),TRUE,FALSE)</formula>
    </cfRule>
  </conditionalFormatting>
  <conditionalFormatting sqref="J50">
    <cfRule type="expression" dxfId="122" priority="44">
      <formula>IF(ISBLANK(J50),TRUE,FALSE)</formula>
    </cfRule>
  </conditionalFormatting>
  <conditionalFormatting sqref="N47:N50">
    <cfRule type="expression" dxfId="121" priority="42">
      <formula>IF(ISBLANK(N47),TRUE,FALSE)</formula>
    </cfRule>
  </conditionalFormatting>
  <conditionalFormatting sqref="N48:N50">
    <cfRule type="expression" dxfId="120" priority="41">
      <formula>IF(ISBLANK(N48),TRUE,FALSE)</formula>
    </cfRule>
  </conditionalFormatting>
  <conditionalFormatting sqref="N49">
    <cfRule type="expression" dxfId="119" priority="40">
      <formula>IF(ISBLANK(N49),TRUE,FALSE)</formula>
    </cfRule>
  </conditionalFormatting>
  <conditionalFormatting sqref="N47:N50">
    <cfRule type="expression" dxfId="118" priority="39">
      <formula>IF(ISBLANK(N47),TRUE,FALSE)</formula>
    </cfRule>
  </conditionalFormatting>
  <conditionalFormatting sqref="J10">
    <cfRule type="expression" dxfId="117" priority="37">
      <formula>IF(OR(J10="--Select--",ISBLANK(J10)),TRUE,FALSE)</formula>
    </cfRule>
  </conditionalFormatting>
  <conditionalFormatting sqref="R33:U33">
    <cfRule type="expression" dxfId="116" priority="35">
      <formula>IF(R32="--Select--",TRUE,FALSE)</formula>
    </cfRule>
    <cfRule type="expression" dxfId="115" priority="36">
      <formula>IF(OR(R33="--Select--",ISBLANK(R32)),TRUE,FALSE)</formula>
    </cfRule>
  </conditionalFormatting>
  <conditionalFormatting sqref="R23:U23">
    <cfRule type="expression" dxfId="114" priority="32">
      <formula>IF(OR(R23="--Select--",ISBLANK(R23)),TRUE,FALSE)</formula>
    </cfRule>
  </conditionalFormatting>
  <conditionalFormatting sqref="J45:L51 N45:P51">
    <cfRule type="expression" dxfId="113" priority="38" stopIfTrue="1">
      <formula>IF($R$43="No",TRUE,FALSE)</formula>
    </cfRule>
  </conditionalFormatting>
  <conditionalFormatting sqref="J51 N51">
    <cfRule type="expression" dxfId="112" priority="894">
      <formula>IF($R$43="No",TRUE,FALSE)</formula>
    </cfRule>
  </conditionalFormatting>
  <conditionalFormatting sqref="R43:U43">
    <cfRule type="expression" dxfId="111" priority="31">
      <formula>IF(OR(R43="--Select--",ISBLANK(R43)),TRUE,FALSE)</formula>
    </cfRule>
  </conditionalFormatting>
  <conditionalFormatting sqref="R19:U19">
    <cfRule type="expression" dxfId="110" priority="30">
      <formula>IF(OR(R19="--Select--",ISBLANK(R19)),TRUE,FALSE)</formula>
    </cfRule>
  </conditionalFormatting>
  <conditionalFormatting sqref="R17:U17">
    <cfRule type="expression" dxfId="109" priority="28">
      <formula>IF(OR(R17="--Select--",ISBLANK(R17)),TRUE,FALSE)</formula>
    </cfRule>
  </conditionalFormatting>
  <conditionalFormatting sqref="W16:Z16">
    <cfRule type="expression" dxfId="108" priority="27">
      <formula>IF(OR(W16="--Select--",ISBLANK(W16)),TRUE,FALSE)</formula>
    </cfRule>
  </conditionalFormatting>
  <conditionalFormatting sqref="J53:L53">
    <cfRule type="expression" dxfId="107" priority="26" stopIfTrue="1">
      <formula>IF($R$43="No",TRUE,FALSE)</formula>
    </cfRule>
  </conditionalFormatting>
  <conditionalFormatting sqref="N53:P53">
    <cfRule type="expression" dxfId="106" priority="17" stopIfTrue="1">
      <formula>IF($R$43="No",TRUE,FALSE)</formula>
    </cfRule>
  </conditionalFormatting>
  <conditionalFormatting sqref="R53:Z53">
    <cfRule type="expression" dxfId="105" priority="16" stopIfTrue="1">
      <formula>IF($R$43="No",TRUE,FALSE)</formula>
    </cfRule>
  </conditionalFormatting>
  <dataValidations count="4">
    <dataValidation type="list" allowBlank="1" showInputMessage="1" showErrorMessage="1" sqref="W37:Z37">
      <formula1>INDIRECT($W$36)</formula1>
    </dataValidation>
    <dataValidation type="list" allowBlank="1" showInputMessage="1" showErrorMessage="1" sqref="R37:U37">
      <formula1>INDIRECT($R$36)</formula1>
    </dataValidation>
    <dataValidation type="list" allowBlank="1" showInputMessage="1" showErrorMessage="1" sqref="W33:Z33">
      <formula1>INDIRECT($W$32)</formula1>
    </dataValidation>
    <dataValidation type="list" allowBlank="1" showInputMessage="1" showErrorMessage="1" sqref="R33:U33">
      <formula1>INDIRECT($R$32)</formula1>
    </dataValidation>
  </dataValidations>
  <pageMargins left="0.25" right="0.25" top="0.75" bottom="0.75" header="0.3" footer="0.3"/>
  <pageSetup orientation="portrait" r:id="rId1"/>
  <ignoredErrors>
    <ignoredError sqref="N48:P49 W17:Z23 R19:U19 N47:P47 N50:P50 R21:U21" unlockedFormula="1"/>
  </ignoredErrors>
  <extLst>
    <ext xmlns:x14="http://schemas.microsoft.com/office/spreadsheetml/2009/9/main" uri="{78C0D931-6437-407d-A8EE-F0AAD7539E65}">
      <x14:conditionalFormattings>
        <x14:conditionalFormatting xmlns:xm="http://schemas.microsoft.com/office/excel/2006/main">
          <x14:cfRule type="expression" priority="1" id="{2270648A-0488-43DE-AA5C-C5B29B09EBF1}">
            <xm:f>OR(Summary!$P$21="--Select--",Summary!$P$21&lt;6,Summary!$P$12="--Select--",Summary!$P$12="Transformer Only")</xm:f>
            <x14:dxf>
              <fill>
                <patternFill patternType="solid">
                  <bgColor theme="1"/>
                </patternFill>
              </fill>
            </x14:dxf>
          </x14:cfRule>
          <xm:sqref>A1:XFD1048576</xm:sqref>
        </x14:conditionalFormatting>
      </x14:conditionalFormattings>
    </ext>
    <ext xmlns:x14="http://schemas.microsoft.com/office/spreadsheetml/2009/9/main" uri="{CCE6A557-97BC-4b89-ADB6-D9C93CAAB3DF}">
      <x14:dataValidations xmlns:xm="http://schemas.microsoft.com/office/excel/2006/main" count="5">
        <x14:dataValidation type="list" allowBlank="1" showInputMessage="1" showErrorMessage="1">
          <x14:formula1>
            <xm:f>Lists!$K$3:$K$4</xm:f>
          </x14:formula1>
          <xm:sqref>R43:R44</xm:sqref>
        </x14:dataValidation>
        <x14:dataValidation type="list" allowBlank="1" showInputMessage="1" showErrorMessage="1">
          <x14:formula1>
            <xm:f>Lists!$G$2:$G$5</xm:f>
          </x14:formula1>
          <xm:sqref>R29 W29:Z29</xm:sqref>
        </x14:dataValidation>
        <x14:dataValidation type="list" allowBlank="1" showInputMessage="1" showErrorMessage="1">
          <x14:formula1>
            <xm:f>Lists!$H$2:$H$4</xm:f>
          </x14:formula1>
          <xm:sqref>R30 W30:Z30</xm:sqref>
        </x14:dataValidation>
        <x14:dataValidation type="list" allowBlank="1" showInputMessage="1" showErrorMessage="1">
          <x14:formula1>
            <xm:f>Lists!$I$2:$I$5</xm:f>
          </x14:formula1>
          <xm:sqref>R32:U32 W32:Z32 R36:U36 W36:Z36</xm:sqref>
        </x14:dataValidation>
        <x14:dataValidation type="list" allowBlank="1" showInputMessage="1" showErrorMessage="1">
          <x14:formula1>
            <xm:f>Lists!$K$2:$K$4</xm:f>
          </x14:formula1>
          <xm:sqref>W12</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BZ58"/>
  <sheetViews>
    <sheetView showGridLines="0" zoomScaleNormal="100" workbookViewId="0">
      <selection activeCell="H4" sqref="H4:AA4"/>
    </sheetView>
  </sheetViews>
  <sheetFormatPr defaultColWidth="3.5703125" defaultRowHeight="18.75" customHeight="1" x14ac:dyDescent="0.25"/>
  <cols>
    <col min="23" max="23" width="3.5703125" customWidth="1"/>
    <col min="30" max="30" width="3.5703125" customWidth="1"/>
  </cols>
  <sheetData>
    <row r="1" spans="1:78" ht="18.75" customHeight="1" x14ac:dyDescent="0.3">
      <c r="A1" s="95"/>
      <c r="B1" s="94" t="s">
        <v>503</v>
      </c>
      <c r="C1" s="95"/>
      <c r="D1" s="95"/>
      <c r="E1" s="95"/>
      <c r="F1" s="95"/>
      <c r="G1" s="95"/>
      <c r="H1" s="95"/>
      <c r="I1" s="95"/>
      <c r="J1" s="95"/>
      <c r="K1" s="95"/>
      <c r="L1" s="95"/>
      <c r="M1" s="95"/>
      <c r="N1" s="95"/>
      <c r="O1" s="95"/>
      <c r="P1" s="95"/>
      <c r="Q1" s="95"/>
      <c r="R1" s="95"/>
      <c r="S1" s="95"/>
      <c r="T1" s="95"/>
      <c r="U1" s="95"/>
      <c r="V1" s="95"/>
      <c r="W1" s="95"/>
      <c r="X1" s="95"/>
      <c r="Y1" s="95"/>
      <c r="Z1" s="95"/>
      <c r="AA1" s="95"/>
      <c r="AB1" s="95"/>
      <c r="AC1" s="95"/>
      <c r="AD1" s="95"/>
      <c r="AE1" s="95"/>
      <c r="AF1" s="95"/>
      <c r="AG1" s="95"/>
      <c r="AH1" s="95"/>
      <c r="AI1" s="95"/>
      <c r="AJ1" s="95"/>
      <c r="AK1" s="95"/>
      <c r="AL1" s="95"/>
      <c r="AM1" s="95"/>
      <c r="AN1" s="95"/>
      <c r="AO1" s="95"/>
      <c r="AP1" s="95"/>
      <c r="AQ1" s="95"/>
      <c r="AR1" s="95"/>
      <c r="AS1" s="95"/>
      <c r="AT1" s="95"/>
      <c r="AU1" s="95"/>
      <c r="AV1" s="95"/>
      <c r="AW1" s="95"/>
      <c r="AX1" s="95"/>
      <c r="AY1" s="95"/>
      <c r="AZ1" s="95"/>
      <c r="BA1" s="95"/>
      <c r="BB1" s="95"/>
      <c r="BC1" s="95"/>
      <c r="BD1" s="95"/>
      <c r="BE1" s="95"/>
      <c r="BF1" s="95"/>
      <c r="BG1" s="95"/>
      <c r="BH1" s="95"/>
      <c r="BI1" s="95"/>
      <c r="BJ1" s="95"/>
      <c r="BK1" s="95"/>
      <c r="BL1" s="95"/>
      <c r="BM1" s="95"/>
      <c r="BN1" s="95"/>
      <c r="BO1" s="95"/>
      <c r="BP1" s="95"/>
      <c r="BQ1" s="95"/>
      <c r="BR1" s="95"/>
      <c r="BS1" s="95"/>
      <c r="BT1" s="95"/>
      <c r="BU1" s="95"/>
      <c r="BV1" s="95"/>
      <c r="BW1" s="95"/>
      <c r="BX1" s="95"/>
      <c r="BY1" s="95"/>
      <c r="BZ1" s="95"/>
    </row>
    <row r="2" spans="1:78" ht="18.75" customHeight="1" x14ac:dyDescent="0.25">
      <c r="D2" s="2"/>
      <c r="E2" s="2"/>
      <c r="F2" s="2"/>
      <c r="G2" s="2"/>
      <c r="H2" s="2"/>
      <c r="I2" s="2"/>
      <c r="AC2" s="302" t="s">
        <v>391</v>
      </c>
      <c r="AD2" s="302"/>
      <c r="AE2" s="302"/>
      <c r="AF2" s="302"/>
      <c r="AG2" s="302"/>
      <c r="AH2" s="302"/>
      <c r="AI2" s="302"/>
    </row>
    <row r="3" spans="1:78" ht="18.75" customHeight="1" x14ac:dyDescent="0.25">
      <c r="B3" s="2"/>
      <c r="C3" s="2"/>
      <c r="D3" s="2"/>
      <c r="E3" s="2"/>
      <c r="F3" s="2"/>
      <c r="G3" s="2"/>
      <c r="AC3" s="380" t="s">
        <v>392</v>
      </c>
      <c r="AD3" s="380"/>
      <c r="AE3" s="380"/>
      <c r="AF3" s="380"/>
      <c r="AG3" s="380"/>
      <c r="AH3" s="380"/>
      <c r="AI3" s="380"/>
    </row>
    <row r="4" spans="1:78" ht="18.75" customHeight="1" x14ac:dyDescent="0.25">
      <c r="B4" s="162" t="s">
        <v>455</v>
      </c>
      <c r="C4" s="162"/>
      <c r="D4" s="162"/>
      <c r="E4" s="162"/>
      <c r="F4" s="162"/>
      <c r="G4" s="162"/>
      <c r="H4" s="172"/>
      <c r="I4" s="172"/>
      <c r="J4" s="172"/>
      <c r="K4" s="172"/>
      <c r="L4" s="172"/>
      <c r="M4" s="172"/>
      <c r="N4" s="172"/>
      <c r="O4" s="172"/>
      <c r="P4" s="172"/>
      <c r="Q4" s="172"/>
      <c r="R4" s="172"/>
      <c r="S4" s="172"/>
      <c r="T4" s="172"/>
      <c r="U4" s="172"/>
      <c r="V4" s="172"/>
      <c r="W4" s="172"/>
      <c r="X4" s="172"/>
      <c r="Y4" s="172"/>
      <c r="Z4" s="172"/>
      <c r="AA4" s="172"/>
      <c r="AC4" s="381" t="s">
        <v>393</v>
      </c>
      <c r="AD4" s="381"/>
      <c r="AE4" s="381"/>
      <c r="AF4" s="381"/>
      <c r="AG4" s="381"/>
      <c r="AH4" s="381"/>
      <c r="AI4" s="381"/>
    </row>
    <row r="5" spans="1:78" ht="18.75" customHeight="1" x14ac:dyDescent="0.25">
      <c r="B5" s="162" t="s">
        <v>67</v>
      </c>
      <c r="C5" s="162"/>
      <c r="D5" s="162"/>
      <c r="E5" s="162"/>
      <c r="F5" s="162"/>
      <c r="G5" s="162"/>
      <c r="H5" s="175"/>
      <c r="I5" s="175"/>
      <c r="J5" s="175"/>
      <c r="K5" s="175"/>
      <c r="L5" s="175"/>
      <c r="M5" s="175"/>
      <c r="N5" s="175"/>
      <c r="O5" s="175"/>
      <c r="P5" s="175"/>
      <c r="Q5" s="175"/>
      <c r="R5" s="175"/>
      <c r="S5" s="175"/>
      <c r="T5" s="175"/>
      <c r="U5" s="175"/>
      <c r="V5" s="175"/>
      <c r="W5" s="175"/>
      <c r="X5" s="175"/>
      <c r="Y5" s="175"/>
      <c r="Z5" s="175"/>
      <c r="AA5" s="175"/>
    </row>
    <row r="6" spans="1:78" ht="18.75" customHeight="1" x14ac:dyDescent="0.25">
      <c r="B6" s="162" t="s">
        <v>468</v>
      </c>
      <c r="C6" s="162"/>
      <c r="D6" s="162"/>
      <c r="E6" s="162"/>
      <c r="F6" s="162"/>
      <c r="G6" s="162"/>
      <c r="H6" s="175"/>
      <c r="I6" s="175"/>
      <c r="J6" s="175"/>
      <c r="K6" s="175"/>
      <c r="L6" s="175"/>
      <c r="M6" s="175"/>
      <c r="N6" s="175"/>
      <c r="O6" s="175"/>
      <c r="P6" s="175"/>
      <c r="Q6" s="175"/>
      <c r="R6" s="175"/>
      <c r="S6" s="175"/>
      <c r="T6" s="175"/>
      <c r="U6" s="175"/>
      <c r="V6" s="175"/>
      <c r="W6" s="175"/>
      <c r="X6" s="175"/>
      <c r="Y6" s="175"/>
      <c r="Z6" s="175"/>
      <c r="AA6" s="175"/>
      <c r="AL6" s="2"/>
    </row>
    <row r="7" spans="1:78" ht="18.75" customHeight="1" x14ac:dyDescent="0.25">
      <c r="B7" s="162" t="s">
        <v>12</v>
      </c>
      <c r="C7" s="162"/>
      <c r="D7" s="162"/>
      <c r="E7" s="162"/>
      <c r="F7" s="162"/>
      <c r="G7" s="162"/>
      <c r="H7" s="175"/>
      <c r="I7" s="175"/>
      <c r="J7" s="175"/>
      <c r="K7" s="175"/>
      <c r="L7" s="175"/>
      <c r="M7" s="175"/>
      <c r="N7" s="175"/>
      <c r="O7" s="175"/>
      <c r="P7" s="175"/>
      <c r="Q7" s="175"/>
      <c r="R7" s="175"/>
      <c r="S7" s="175"/>
      <c r="T7" s="175"/>
      <c r="U7" s="175"/>
      <c r="V7" s="175"/>
      <c r="W7" s="175"/>
      <c r="X7" s="175"/>
      <c r="Y7" s="175"/>
      <c r="Z7" s="175"/>
      <c r="AA7" s="175"/>
      <c r="AF7" s="8"/>
      <c r="AG7" s="8"/>
      <c r="AH7" s="8"/>
      <c r="AI7" s="2"/>
      <c r="AJ7" s="2"/>
      <c r="AK7" s="2"/>
      <c r="AL7" s="2"/>
    </row>
    <row r="8" spans="1:78" ht="18.75" customHeight="1" x14ac:dyDescent="0.25">
      <c r="B8" s="162" t="s">
        <v>13</v>
      </c>
      <c r="C8" s="162"/>
      <c r="D8" s="162"/>
      <c r="E8" s="162"/>
      <c r="F8" s="162"/>
      <c r="G8" s="162"/>
      <c r="H8" s="175"/>
      <c r="I8" s="175"/>
      <c r="J8" s="175"/>
      <c r="K8" s="175"/>
      <c r="L8" s="175"/>
      <c r="M8" s="175"/>
      <c r="N8" s="175"/>
      <c r="O8" s="175"/>
      <c r="P8" s="175"/>
      <c r="Q8" s="175"/>
      <c r="R8" s="175"/>
      <c r="S8" s="175"/>
      <c r="T8" s="175"/>
      <c r="U8" s="175"/>
      <c r="V8" s="175"/>
      <c r="W8" s="175"/>
      <c r="X8" s="175"/>
      <c r="Y8" s="175"/>
      <c r="Z8" s="175"/>
      <c r="AA8" s="175"/>
      <c r="AF8" s="8"/>
      <c r="AG8" s="8"/>
      <c r="AH8" s="8"/>
      <c r="AI8" s="2"/>
      <c r="AJ8" s="2"/>
      <c r="AK8" s="2"/>
      <c r="AL8" s="2"/>
    </row>
    <row r="9" spans="1:78" ht="18.75" customHeight="1" x14ac:dyDescent="0.25">
      <c r="B9" s="162" t="s">
        <v>48</v>
      </c>
      <c r="C9" s="162"/>
      <c r="D9" s="162"/>
      <c r="E9" s="162"/>
      <c r="F9" s="162"/>
      <c r="G9" s="162"/>
      <c r="H9" s="172" t="s">
        <v>3</v>
      </c>
      <c r="I9" s="172"/>
      <c r="J9" s="172"/>
      <c r="K9" s="172"/>
      <c r="L9" s="172"/>
      <c r="M9" s="172"/>
      <c r="N9" s="172"/>
      <c r="O9" s="172"/>
      <c r="P9" s="172"/>
      <c r="Q9" s="172"/>
      <c r="R9" s="172"/>
      <c r="S9" s="172"/>
      <c r="T9" s="172"/>
      <c r="U9" s="172"/>
      <c r="V9" s="172"/>
      <c r="W9" s="172"/>
      <c r="X9" s="172"/>
      <c r="Y9" s="172"/>
      <c r="Z9" s="172"/>
      <c r="AA9" s="172"/>
      <c r="AL9" s="2"/>
    </row>
    <row r="10" spans="1:78" ht="18.75" customHeight="1" x14ac:dyDescent="0.25">
      <c r="B10" s="162" t="s">
        <v>425</v>
      </c>
      <c r="C10" s="162"/>
      <c r="D10" s="162"/>
      <c r="E10" s="162"/>
      <c r="F10" s="162"/>
      <c r="G10" s="162"/>
      <c r="H10" s="172" t="s">
        <v>3</v>
      </c>
      <c r="I10" s="172"/>
      <c r="J10" s="172"/>
      <c r="K10" s="172"/>
      <c r="L10" s="172"/>
      <c r="M10" s="172"/>
      <c r="N10" s="172"/>
      <c r="O10" s="172"/>
      <c r="P10" s="172"/>
      <c r="Q10" s="172"/>
      <c r="R10" s="172"/>
      <c r="S10" s="172"/>
      <c r="T10" s="172"/>
      <c r="U10" s="172"/>
      <c r="V10" s="172"/>
      <c r="W10" s="172"/>
      <c r="X10" s="172"/>
      <c r="Y10" s="172"/>
      <c r="Z10" s="172"/>
      <c r="AA10" s="172"/>
      <c r="AL10" s="2"/>
    </row>
    <row r="11" spans="1:78" ht="18.75" customHeight="1" x14ac:dyDescent="0.25">
      <c r="B11" s="162" t="s">
        <v>14</v>
      </c>
      <c r="C11" s="162"/>
      <c r="D11" s="162"/>
      <c r="E11" s="162"/>
      <c r="F11" s="162"/>
      <c r="G11" s="162"/>
      <c r="H11" s="399" t="str">
        <f>IF(H10="New Construction","UUDTR95006",IF(H10="Retrofit","UUDTR85006",""))</f>
        <v/>
      </c>
      <c r="I11" s="399"/>
      <c r="J11" s="399"/>
      <c r="K11" s="399"/>
      <c r="L11" s="399"/>
      <c r="M11" s="399"/>
      <c r="N11" s="399"/>
      <c r="O11" s="399"/>
      <c r="P11" s="399"/>
      <c r="Q11" s="399"/>
      <c r="R11" s="399"/>
      <c r="S11" s="399"/>
      <c r="T11" s="399"/>
      <c r="U11" s="399"/>
      <c r="V11" s="399"/>
      <c r="W11" s="399"/>
      <c r="X11" s="399"/>
      <c r="Y11" s="399"/>
      <c r="Z11" s="399"/>
      <c r="AA11" s="399"/>
    </row>
    <row r="12" spans="1:78" ht="18.75" customHeight="1" x14ac:dyDescent="0.25">
      <c r="B12" s="162" t="s">
        <v>480</v>
      </c>
      <c r="C12" s="162"/>
      <c r="D12" s="162"/>
      <c r="E12" s="162"/>
      <c r="F12" s="162"/>
      <c r="G12" s="162"/>
      <c r="H12" s="162"/>
      <c r="I12" s="162"/>
      <c r="J12" s="328" t="str">
        <f ca="1">IF(OR(ISBLANK($H$5),H10="--Select--"),"",OFFSET(Lists!$AI$1,MATCH(H11,Lists!$AA$2:$AA$4,FALSE),MATCH($H$5,Lists!$AJ$1:$BA$1,1)))</f>
        <v/>
      </c>
      <c r="K12" s="328"/>
      <c r="L12" s="328"/>
      <c r="M12" s="328"/>
      <c r="N12" s="328"/>
      <c r="O12" s="328"/>
      <c r="P12" s="328"/>
      <c r="Q12" s="328"/>
      <c r="R12" s="328"/>
      <c r="S12" s="328"/>
      <c r="T12" s="328"/>
      <c r="U12" s="328"/>
      <c r="V12" s="328"/>
      <c r="W12" s="328"/>
      <c r="X12" s="328"/>
      <c r="Y12" s="328"/>
      <c r="Z12" s="328"/>
      <c r="AA12" s="328"/>
    </row>
    <row r="13" spans="1:78" ht="18.75" customHeight="1" thickBot="1" x14ac:dyDescent="0.3">
      <c r="B13" s="2"/>
      <c r="C13" s="2"/>
      <c r="D13" s="2"/>
      <c r="E13" s="2"/>
      <c r="F13" s="2"/>
      <c r="G13" s="2"/>
      <c r="H13" s="2"/>
      <c r="I13" s="2"/>
    </row>
    <row r="14" spans="1:78" ht="18.75" customHeight="1" x14ac:dyDescent="0.25">
      <c r="E14" s="2"/>
      <c r="G14" s="2"/>
      <c r="H14" s="2"/>
      <c r="I14" s="2"/>
      <c r="S14" s="309" t="s">
        <v>22</v>
      </c>
      <c r="T14" s="310"/>
      <c r="U14" s="310"/>
      <c r="V14" s="311"/>
      <c r="X14" s="309" t="s">
        <v>30</v>
      </c>
      <c r="Y14" s="310"/>
      <c r="Z14" s="310"/>
      <c r="AA14" s="311"/>
    </row>
    <row r="15" spans="1:78" ht="18.75" customHeight="1" x14ac:dyDescent="0.25">
      <c r="C15" s="2"/>
      <c r="D15" s="2"/>
      <c r="E15" s="2"/>
      <c r="F15" s="2"/>
      <c r="G15" s="2"/>
      <c r="H15" s="2"/>
      <c r="I15" s="2"/>
      <c r="J15" s="2"/>
      <c r="S15" s="411"/>
      <c r="T15" s="412"/>
      <c r="U15" s="412"/>
      <c r="V15" s="413"/>
      <c r="X15" s="411"/>
      <c r="Y15" s="412"/>
      <c r="Z15" s="412"/>
      <c r="AA15" s="413"/>
    </row>
    <row r="16" spans="1:78" s="119" customFormat="1" ht="18.75" customHeight="1" x14ac:dyDescent="0.3">
      <c r="B16" s="390" t="s">
        <v>690</v>
      </c>
      <c r="C16" s="391"/>
      <c r="D16" s="391"/>
      <c r="E16" s="391"/>
      <c r="F16" s="391"/>
      <c r="G16" s="391"/>
      <c r="H16" s="391"/>
      <c r="I16" s="391"/>
      <c r="J16" s="391"/>
      <c r="K16" s="391"/>
      <c r="L16" s="391"/>
      <c r="M16" s="391"/>
      <c r="N16" s="391"/>
      <c r="O16" s="391"/>
      <c r="P16" s="391"/>
      <c r="Q16" s="392"/>
      <c r="S16" s="393"/>
      <c r="T16" s="394"/>
      <c r="U16" s="394"/>
      <c r="V16" s="395"/>
      <c r="X16" s="396">
        <v>1</v>
      </c>
      <c r="Y16" s="397"/>
      <c r="Z16" s="397"/>
      <c r="AA16" s="398"/>
    </row>
    <row r="17" spans="2:58" ht="18.75" customHeight="1" x14ac:dyDescent="0.25">
      <c r="B17" s="256" t="s">
        <v>676</v>
      </c>
      <c r="C17" s="256"/>
      <c r="D17" s="256"/>
      <c r="E17" s="256"/>
      <c r="F17" s="256"/>
      <c r="G17" s="256"/>
      <c r="H17" s="256"/>
      <c r="I17" s="256"/>
      <c r="J17" s="256"/>
      <c r="K17" s="256"/>
      <c r="L17" s="256"/>
      <c r="M17" s="256"/>
      <c r="N17" s="256"/>
      <c r="O17" s="256"/>
      <c r="P17" s="256"/>
      <c r="Q17" s="256"/>
      <c r="S17" s="400"/>
      <c r="T17" s="400"/>
      <c r="U17" s="400"/>
      <c r="V17" s="400"/>
      <c r="W17" s="33"/>
      <c r="X17" s="400"/>
      <c r="Y17" s="400"/>
      <c r="Z17" s="400"/>
      <c r="AA17" s="400"/>
      <c r="AC17" s="2"/>
      <c r="AF17" s="17"/>
      <c r="AG17" s="2"/>
      <c r="AL17" s="2"/>
      <c r="AM17" s="2"/>
      <c r="AN17" s="2"/>
    </row>
    <row r="18" spans="2:58" ht="18.75" customHeight="1" x14ac:dyDescent="0.25">
      <c r="B18" s="256" t="s">
        <v>674</v>
      </c>
      <c r="C18" s="256"/>
      <c r="D18" s="256"/>
      <c r="E18" s="256"/>
      <c r="F18" s="256"/>
      <c r="G18" s="256"/>
      <c r="H18" s="256"/>
      <c r="I18" s="256"/>
      <c r="J18" s="256"/>
      <c r="K18" s="256"/>
      <c r="L18" s="256"/>
      <c r="M18" s="256"/>
      <c r="N18" s="256"/>
      <c r="O18" s="256"/>
      <c r="P18" s="256"/>
      <c r="Q18" s="256"/>
      <c r="S18" s="400"/>
      <c r="T18" s="400"/>
      <c r="U18" s="400"/>
      <c r="V18" s="400"/>
      <c r="W18" s="33"/>
      <c r="X18" s="407">
        <f>S18</f>
        <v>0</v>
      </c>
      <c r="Y18" s="408"/>
      <c r="Z18" s="408"/>
      <c r="AA18" s="409"/>
      <c r="AC18" s="343" t="s">
        <v>670</v>
      </c>
      <c r="AD18" s="344"/>
      <c r="AE18" s="344"/>
      <c r="AF18" s="344"/>
      <c r="AG18" s="344"/>
      <c r="AH18" s="344"/>
      <c r="AI18" s="344"/>
      <c r="AJ18" s="344"/>
      <c r="AK18" s="344"/>
      <c r="AL18" s="345"/>
      <c r="AM18" s="2"/>
      <c r="AN18" s="2"/>
    </row>
    <row r="19" spans="2:58" ht="18.75" customHeight="1" x14ac:dyDescent="0.25">
      <c r="B19" s="256" t="s">
        <v>675</v>
      </c>
      <c r="C19" s="256"/>
      <c r="D19" s="256"/>
      <c r="E19" s="256"/>
      <c r="F19" s="256"/>
      <c r="G19" s="256"/>
      <c r="H19" s="256"/>
      <c r="I19" s="256"/>
      <c r="J19" s="256"/>
      <c r="K19" s="256"/>
      <c r="L19" s="256"/>
      <c r="M19" s="256"/>
      <c r="N19" s="256"/>
      <c r="O19" s="256"/>
      <c r="P19" s="256"/>
      <c r="Q19" s="256"/>
      <c r="S19" s="400"/>
      <c r="T19" s="400"/>
      <c r="U19" s="400"/>
      <c r="V19" s="400"/>
      <c r="W19" s="33"/>
      <c r="X19" s="407">
        <f>S19</f>
        <v>0</v>
      </c>
      <c r="Y19" s="408"/>
      <c r="Z19" s="408"/>
      <c r="AA19" s="409"/>
      <c r="AC19" s="346"/>
      <c r="AD19" s="347"/>
      <c r="AE19" s="347"/>
      <c r="AF19" s="347"/>
      <c r="AG19" s="347"/>
      <c r="AH19" s="347"/>
      <c r="AI19" s="347"/>
      <c r="AJ19" s="347"/>
      <c r="AK19" s="347"/>
      <c r="AL19" s="348"/>
      <c r="AM19" s="2"/>
      <c r="AN19" s="2"/>
    </row>
    <row r="20" spans="2:58" ht="18.75" customHeight="1" x14ac:dyDescent="0.25">
      <c r="B20" s="256" t="s">
        <v>49</v>
      </c>
      <c r="C20" s="256"/>
      <c r="D20" s="256"/>
      <c r="E20" s="256"/>
      <c r="F20" s="256"/>
      <c r="G20" s="256"/>
      <c r="H20" s="256"/>
      <c r="I20" s="256"/>
      <c r="J20" s="256"/>
      <c r="K20" s="256"/>
      <c r="L20" s="256"/>
      <c r="M20" s="256"/>
      <c r="N20" s="256"/>
      <c r="O20" s="256"/>
      <c r="P20" s="256"/>
      <c r="Q20" s="256"/>
      <c r="S20" s="417" t="str">
        <f>IFERROR($S$19/$S$18,"")</f>
        <v/>
      </c>
      <c r="T20" s="418"/>
      <c r="U20" s="418"/>
      <c r="V20" s="419"/>
      <c r="W20" s="33"/>
      <c r="X20" s="414" t="str">
        <f>IFERROR($X$19/$X$18,"")</f>
        <v/>
      </c>
      <c r="Y20" s="415"/>
      <c r="Z20" s="415"/>
      <c r="AA20" s="416"/>
      <c r="AC20" s="349"/>
      <c r="AD20" s="350"/>
      <c r="AE20" s="350"/>
      <c r="AF20" s="350"/>
      <c r="AG20" s="350"/>
      <c r="AH20" s="350"/>
      <c r="AI20" s="350"/>
      <c r="AJ20" s="350"/>
      <c r="AK20" s="350"/>
      <c r="AL20" s="351"/>
      <c r="AM20" s="66"/>
      <c r="AN20" s="66"/>
      <c r="AO20" s="66"/>
      <c r="AP20" s="66"/>
      <c r="AQ20" s="66"/>
      <c r="AR20" s="66"/>
      <c r="AS20" s="66"/>
      <c r="AT20" s="66"/>
      <c r="AU20" s="66"/>
      <c r="AV20" s="66"/>
      <c r="AW20" s="66"/>
      <c r="AX20" s="66"/>
      <c r="AY20" s="66"/>
      <c r="AZ20" s="66"/>
      <c r="BA20" s="66"/>
      <c r="BB20" s="66"/>
      <c r="BC20" s="66"/>
      <c r="BD20" s="66"/>
      <c r="BE20" s="66"/>
      <c r="BF20" s="66"/>
    </row>
    <row r="21" spans="2:58" ht="18.75" customHeight="1" x14ac:dyDescent="0.25">
      <c r="B21" s="2"/>
      <c r="C21" s="2"/>
      <c r="D21" s="2"/>
      <c r="S21" s="32"/>
      <c r="T21" s="32"/>
      <c r="U21" s="32"/>
      <c r="V21" s="32"/>
      <c r="W21" s="32"/>
      <c r="X21" s="2"/>
      <c r="Y21" s="2"/>
      <c r="AC21" s="2"/>
      <c r="AE21" s="17"/>
      <c r="AI21" s="2"/>
      <c r="AL21" s="2"/>
      <c r="AM21" s="2"/>
      <c r="AN21" s="2"/>
      <c r="AT21" s="2"/>
    </row>
    <row r="22" spans="2:58" ht="18.75" customHeight="1" x14ac:dyDescent="0.25">
      <c r="B22" s="256" t="s">
        <v>470</v>
      </c>
      <c r="C22" s="256"/>
      <c r="D22" s="256"/>
      <c r="E22" s="256"/>
      <c r="F22" s="256"/>
      <c r="G22" s="256"/>
      <c r="H22" s="256"/>
      <c r="I22" s="256"/>
      <c r="J22" s="256"/>
      <c r="K22" s="256"/>
      <c r="L22" s="256"/>
      <c r="M22" s="256"/>
      <c r="N22" s="256"/>
      <c r="O22" s="256"/>
      <c r="P22" s="256"/>
      <c r="Q22" s="256"/>
      <c r="S22" s="417" t="str">
        <f>IFERROR($S$20^2*0.85+$S$20*0.15,"")</f>
        <v/>
      </c>
      <c r="T22" s="418"/>
      <c r="U22" s="418"/>
      <c r="V22" s="419"/>
      <c r="W22" s="33"/>
      <c r="X22" s="414" t="str">
        <f>IFERROR(0.85*X20^2+0.15*X20,"")</f>
        <v/>
      </c>
      <c r="Y22" s="415"/>
      <c r="Z22" s="415"/>
      <c r="AA22" s="416"/>
      <c r="AC22" s="2"/>
      <c r="AE22" s="17"/>
      <c r="AL22" s="2"/>
      <c r="AM22" s="2"/>
      <c r="AN22" s="2"/>
    </row>
    <row r="23" spans="2:58" ht="18.75" customHeight="1" x14ac:dyDescent="0.25">
      <c r="B23" s="256" t="s">
        <v>50</v>
      </c>
      <c r="C23" s="256"/>
      <c r="D23" s="256"/>
      <c r="E23" s="256"/>
      <c r="F23" s="256"/>
      <c r="G23" s="256"/>
      <c r="H23" s="256"/>
      <c r="I23" s="256"/>
      <c r="J23" s="256"/>
      <c r="K23" s="256"/>
      <c r="L23" s="256"/>
      <c r="M23" s="256"/>
      <c r="N23" s="256"/>
      <c r="O23" s="256"/>
      <c r="P23" s="256"/>
      <c r="Q23" s="256"/>
      <c r="S23" s="400"/>
      <c r="T23" s="400"/>
      <c r="U23" s="400"/>
      <c r="V23" s="400"/>
      <c r="W23" s="33"/>
      <c r="X23" s="407">
        <f>S23</f>
        <v>0</v>
      </c>
      <c r="Y23" s="408"/>
      <c r="Z23" s="408"/>
      <c r="AA23" s="409"/>
      <c r="AC23" s="2"/>
      <c r="AL23" s="2"/>
      <c r="AM23" s="2"/>
      <c r="AN23" s="2"/>
    </row>
    <row r="24" spans="2:58" ht="18.75" customHeight="1" x14ac:dyDescent="0.25">
      <c r="B24" s="2"/>
      <c r="C24" s="2"/>
      <c r="D24" s="2"/>
      <c r="S24" s="32"/>
      <c r="T24" s="32"/>
      <c r="U24" s="32"/>
      <c r="V24" s="32"/>
      <c r="X24" s="2"/>
      <c r="Y24" s="2"/>
      <c r="AC24" s="2"/>
      <c r="AI24" s="2"/>
      <c r="AL24" s="2"/>
      <c r="AM24" s="2"/>
      <c r="AN24" s="2"/>
    </row>
    <row r="25" spans="2:58" ht="18.75" customHeight="1" x14ac:dyDescent="0.25">
      <c r="B25" s="256" t="s">
        <v>678</v>
      </c>
      <c r="C25" s="256"/>
      <c r="D25" s="256"/>
      <c r="E25" s="256"/>
      <c r="F25" s="256"/>
      <c r="G25" s="256"/>
      <c r="H25" s="256"/>
      <c r="I25" s="256"/>
      <c r="J25" s="256"/>
      <c r="K25" s="256"/>
      <c r="L25" s="256"/>
      <c r="M25" s="256"/>
      <c r="N25" s="256"/>
      <c r="O25" s="256"/>
      <c r="P25" s="256"/>
      <c r="Q25" s="256"/>
      <c r="S25" s="255"/>
      <c r="T25" s="255"/>
      <c r="U25" s="255"/>
      <c r="V25" s="255"/>
      <c r="X25" s="255"/>
      <c r="Y25" s="255"/>
      <c r="Z25" s="255"/>
      <c r="AA25" s="255"/>
      <c r="AC25" s="2"/>
    </row>
    <row r="26" spans="2:58" ht="18.75" customHeight="1" x14ac:dyDescent="0.25">
      <c r="B26" s="256" t="s">
        <v>677</v>
      </c>
      <c r="C26" s="256"/>
      <c r="D26" s="256"/>
      <c r="E26" s="256"/>
      <c r="F26" s="256"/>
      <c r="G26" s="256"/>
      <c r="H26" s="256"/>
      <c r="I26" s="256"/>
      <c r="J26" s="256"/>
      <c r="K26" s="256"/>
      <c r="L26" s="256"/>
      <c r="M26" s="256"/>
      <c r="N26" s="256"/>
      <c r="O26" s="256"/>
      <c r="P26" s="256"/>
      <c r="Q26" s="256"/>
      <c r="S26" s="255"/>
      <c r="T26" s="255"/>
      <c r="U26" s="255"/>
      <c r="V26" s="255"/>
      <c r="X26" s="255"/>
      <c r="Y26" s="255"/>
      <c r="Z26" s="255"/>
      <c r="AA26" s="255"/>
      <c r="AC26" s="2"/>
    </row>
    <row r="27" spans="2:58" ht="18.75" customHeight="1" x14ac:dyDescent="0.25">
      <c r="B27" s="2"/>
      <c r="C27" s="2"/>
      <c r="S27" s="32"/>
      <c r="T27" s="32"/>
      <c r="U27" s="32"/>
      <c r="V27" s="32"/>
      <c r="X27" s="8"/>
      <c r="Y27" s="2"/>
      <c r="AC27" s="2"/>
    </row>
    <row r="28" spans="2:58" ht="18.75" customHeight="1" x14ac:dyDescent="0.25">
      <c r="B28" s="256" t="s">
        <v>51</v>
      </c>
      <c r="C28" s="256"/>
      <c r="D28" s="256"/>
      <c r="E28" s="256"/>
      <c r="F28" s="256"/>
      <c r="G28" s="256"/>
      <c r="H28" s="256"/>
      <c r="I28" s="256"/>
      <c r="J28" s="256"/>
      <c r="K28" s="256"/>
      <c r="L28" s="256"/>
      <c r="M28" s="256"/>
      <c r="N28" s="256"/>
      <c r="O28" s="256"/>
      <c r="P28" s="256"/>
      <c r="Q28" s="256"/>
      <c r="S28" s="410" t="s">
        <v>492</v>
      </c>
      <c r="T28" s="410"/>
      <c r="U28" s="410"/>
      <c r="V28" s="410"/>
      <c r="X28" s="410" t="s">
        <v>492</v>
      </c>
      <c r="Y28" s="410"/>
      <c r="Z28" s="410"/>
      <c r="AA28" s="410"/>
      <c r="AC28" s="2"/>
    </row>
    <row r="29" spans="2:58" ht="18.75" customHeight="1" x14ac:dyDescent="0.25">
      <c r="B29" s="2"/>
      <c r="C29" s="2"/>
      <c r="S29" s="32"/>
      <c r="T29" s="32"/>
      <c r="U29" s="32"/>
      <c r="V29" s="32"/>
      <c r="X29" s="2"/>
      <c r="Y29" s="2"/>
      <c r="AC29" s="2"/>
    </row>
    <row r="30" spans="2:58" ht="18.75" customHeight="1" x14ac:dyDescent="0.25">
      <c r="B30" s="256" t="s">
        <v>438</v>
      </c>
      <c r="C30" s="256"/>
      <c r="D30" s="256"/>
      <c r="E30" s="256"/>
      <c r="F30" s="256"/>
      <c r="G30" s="256"/>
      <c r="H30" s="256"/>
      <c r="I30" s="256"/>
      <c r="J30" s="256"/>
      <c r="K30" s="256"/>
      <c r="L30" s="256"/>
      <c r="M30" s="256"/>
      <c r="N30" s="256"/>
      <c r="O30" s="256"/>
      <c r="P30" s="256"/>
      <c r="Q30" s="256"/>
      <c r="S30" s="401" t="str">
        <f>IFERROR($S$26*($S$18/$S$17)^2,"")</f>
        <v/>
      </c>
      <c r="T30" s="402"/>
      <c r="U30" s="402"/>
      <c r="V30" s="403"/>
      <c r="X30" s="420" t="str">
        <f>IFERROR($X$26*($X$18/X17)^2,"")</f>
        <v/>
      </c>
      <c r="Y30" s="421"/>
      <c r="Z30" s="421"/>
      <c r="AA30" s="422"/>
      <c r="AC30" s="2"/>
    </row>
    <row r="31" spans="2:58" ht="18.75" customHeight="1" x14ac:dyDescent="0.25">
      <c r="B31" s="256" t="s">
        <v>439</v>
      </c>
      <c r="C31" s="256"/>
      <c r="D31" s="256"/>
      <c r="E31" s="256"/>
      <c r="F31" s="256"/>
      <c r="G31" s="256"/>
      <c r="H31" s="256"/>
      <c r="I31" s="256"/>
      <c r="J31" s="256"/>
      <c r="K31" s="256"/>
      <c r="L31" s="256"/>
      <c r="M31" s="256"/>
      <c r="N31" s="256"/>
      <c r="O31" s="256"/>
      <c r="P31" s="256"/>
      <c r="Q31" s="256"/>
      <c r="S31" s="404">
        <f>IFERROR($S$25*$S$23,"")</f>
        <v>0</v>
      </c>
      <c r="T31" s="405"/>
      <c r="U31" s="405"/>
      <c r="V31" s="406"/>
      <c r="X31" s="423">
        <f>IFERROR($X$25*$X$23,"")</f>
        <v>0</v>
      </c>
      <c r="Y31" s="424"/>
      <c r="Z31" s="424"/>
      <c r="AA31" s="425"/>
      <c r="AC31" s="2"/>
      <c r="AI31" s="88"/>
    </row>
    <row r="32" spans="2:58" ht="18.75" customHeight="1" x14ac:dyDescent="0.25">
      <c r="B32" s="256" t="s">
        <v>440</v>
      </c>
      <c r="C32" s="256"/>
      <c r="D32" s="256"/>
      <c r="E32" s="256"/>
      <c r="F32" s="256"/>
      <c r="G32" s="256"/>
      <c r="H32" s="256"/>
      <c r="I32" s="256"/>
      <c r="J32" s="256"/>
      <c r="K32" s="256"/>
      <c r="L32" s="256"/>
      <c r="M32" s="256"/>
      <c r="N32" s="256"/>
      <c r="O32" s="256"/>
      <c r="P32" s="256"/>
      <c r="Q32" s="256"/>
      <c r="S32" s="404" t="str">
        <f>IFERROR($S$30*$S$22*$S$23,"")</f>
        <v/>
      </c>
      <c r="T32" s="405"/>
      <c r="U32" s="405"/>
      <c r="V32" s="406"/>
      <c r="X32" s="423" t="str">
        <f>IFERROR($X$30*$X$22*$X$23,"")</f>
        <v/>
      </c>
      <c r="Y32" s="424"/>
      <c r="Z32" s="424"/>
      <c r="AA32" s="425"/>
      <c r="AC32" s="2"/>
    </row>
    <row r="33" spans="2:52" ht="18.75" customHeight="1" x14ac:dyDescent="0.25">
      <c r="B33" s="256" t="s">
        <v>699</v>
      </c>
      <c r="C33" s="256"/>
      <c r="D33" s="256"/>
      <c r="E33" s="256"/>
      <c r="F33" s="256"/>
      <c r="G33" s="256"/>
      <c r="H33" s="256"/>
      <c r="I33" s="256"/>
      <c r="J33" s="256"/>
      <c r="K33" s="256"/>
      <c r="L33" s="256"/>
      <c r="M33" s="256"/>
      <c r="N33" s="256"/>
      <c r="O33" s="256"/>
      <c r="P33" s="256"/>
      <c r="Q33" s="256"/>
      <c r="S33" s="404">
        <f>IFERROR(SUM(S31:V32),"")</f>
        <v>0</v>
      </c>
      <c r="T33" s="405"/>
      <c r="U33" s="405"/>
      <c r="V33" s="406"/>
      <c r="X33" s="423">
        <f>SUM(X31:AA32)</f>
        <v>0</v>
      </c>
      <c r="Y33" s="424"/>
      <c r="Z33" s="424"/>
      <c r="AA33" s="425"/>
    </row>
    <row r="34" spans="2:52" s="119" customFormat="1" ht="18.75" customHeight="1" thickBot="1" x14ac:dyDescent="0.3"/>
    <row r="35" spans="2:52" ht="18.75" customHeight="1" thickBot="1" x14ac:dyDescent="0.3">
      <c r="B35" s="280" t="s">
        <v>700</v>
      </c>
      <c r="C35" s="281"/>
      <c r="D35" s="281"/>
      <c r="E35" s="281"/>
      <c r="F35" s="281"/>
      <c r="G35" s="281"/>
      <c r="H35" s="281"/>
      <c r="I35" s="281"/>
      <c r="J35" s="281"/>
      <c r="K35" s="281"/>
      <c r="L35" s="281"/>
      <c r="M35" s="281"/>
      <c r="N35" s="281"/>
      <c r="O35" s="281"/>
      <c r="P35" s="281"/>
      <c r="Q35" s="282"/>
      <c r="S35" s="283">
        <f>IFERROR(($S$33-$X$33),"")</f>
        <v>0</v>
      </c>
      <c r="T35" s="284"/>
      <c r="U35" s="284"/>
      <c r="V35" s="284"/>
      <c r="W35" s="284"/>
      <c r="X35" s="284"/>
      <c r="Y35" s="284"/>
      <c r="Z35" s="284"/>
      <c r="AA35" s="285"/>
    </row>
    <row r="36" spans="2:52" ht="18.75" customHeight="1" thickBot="1" x14ac:dyDescent="0.3">
      <c r="B36" s="280" t="s">
        <v>485</v>
      </c>
      <c r="C36" s="281"/>
      <c r="D36" s="281"/>
      <c r="E36" s="281"/>
      <c r="F36" s="281"/>
      <c r="G36" s="281"/>
      <c r="H36" s="281"/>
      <c r="I36" s="281"/>
      <c r="J36" s="281"/>
      <c r="K36" s="281"/>
      <c r="L36" s="281"/>
      <c r="M36" s="281"/>
      <c r="N36" s="281"/>
      <c r="O36" s="281"/>
      <c r="P36" s="281"/>
      <c r="Q36" s="282"/>
      <c r="S36" s="283">
        <f>IFERROR(($S$33-$X$33)*$X$16,"")</f>
        <v>0</v>
      </c>
      <c r="T36" s="284"/>
      <c r="U36" s="284"/>
      <c r="V36" s="284"/>
      <c r="W36" s="284"/>
      <c r="X36" s="284"/>
      <c r="Y36" s="284"/>
      <c r="Z36" s="284"/>
      <c r="AA36" s="285"/>
      <c r="AC36" s="373" t="s">
        <v>487</v>
      </c>
      <c r="AD36" s="374"/>
      <c r="AE36" s="374"/>
      <c r="AF36" s="375"/>
    </row>
    <row r="37" spans="2:52" ht="18.75" customHeight="1" thickBot="1" x14ac:dyDescent="0.3">
      <c r="B37" s="280" t="s">
        <v>486</v>
      </c>
      <c r="C37" s="281"/>
      <c r="D37" s="281"/>
      <c r="E37" s="281"/>
      <c r="F37" s="281"/>
      <c r="G37" s="281"/>
      <c r="H37" s="281"/>
      <c r="I37" s="281"/>
      <c r="J37" s="281"/>
      <c r="K37" s="281"/>
      <c r="L37" s="281"/>
      <c r="M37" s="281"/>
      <c r="N37" s="281"/>
      <c r="O37" s="281"/>
      <c r="P37" s="281"/>
      <c r="Q37" s="282"/>
      <c r="S37" s="283">
        <f>IFERROR(S36*AC37,"")</f>
        <v>0</v>
      </c>
      <c r="T37" s="284"/>
      <c r="U37" s="284"/>
      <c r="V37" s="284"/>
      <c r="W37" s="284"/>
      <c r="X37" s="284"/>
      <c r="Y37" s="284"/>
      <c r="Z37" s="284"/>
      <c r="AA37" s="285"/>
      <c r="AC37" s="376">
        <v>1.09056</v>
      </c>
      <c r="AD37" s="377"/>
      <c r="AE37" s="377"/>
      <c r="AF37" s="378"/>
      <c r="AH37" s="5"/>
      <c r="AL37" s="5"/>
    </row>
    <row r="38" spans="2:52" s="119" customFormat="1" ht="18.75" customHeight="1" thickBot="1" x14ac:dyDescent="0.3">
      <c r="AH38"/>
      <c r="AI38"/>
      <c r="AJ38"/>
      <c r="AK38"/>
      <c r="AL38"/>
      <c r="AM38"/>
      <c r="AN38"/>
      <c r="AO38"/>
      <c r="AP38"/>
      <c r="AQ38"/>
      <c r="AR38"/>
      <c r="AS38"/>
      <c r="AT38"/>
      <c r="AU38"/>
      <c r="AV38"/>
      <c r="AW38"/>
      <c r="AX38"/>
      <c r="AY38"/>
      <c r="AZ38"/>
    </row>
    <row r="39" spans="2:52" ht="18.75" customHeight="1" thickBot="1" x14ac:dyDescent="0.3">
      <c r="B39" s="287" t="s">
        <v>701</v>
      </c>
      <c r="C39" s="288"/>
      <c r="D39" s="288"/>
      <c r="E39" s="288"/>
      <c r="F39" s="288"/>
      <c r="G39" s="288"/>
      <c r="H39" s="288"/>
      <c r="I39" s="288"/>
      <c r="J39" s="288"/>
      <c r="K39" s="288"/>
      <c r="L39" s="288"/>
      <c r="M39" s="288"/>
      <c r="N39" s="288"/>
      <c r="O39" s="288"/>
      <c r="P39" s="288"/>
      <c r="Q39" s="289"/>
      <c r="S39" s="252"/>
      <c r="T39" s="253"/>
      <c r="U39" s="253"/>
      <c r="V39" s="253"/>
      <c r="W39" s="253"/>
      <c r="X39" s="253"/>
      <c r="Y39" s="253"/>
      <c r="Z39" s="253"/>
      <c r="AA39" s="254"/>
    </row>
    <row r="40" spans="2:52" ht="18.75" customHeight="1" thickBot="1" x14ac:dyDescent="0.3">
      <c r="B40" s="287" t="s">
        <v>539</v>
      </c>
      <c r="C40" s="288"/>
      <c r="D40" s="288"/>
      <c r="E40" s="288"/>
      <c r="F40" s="288"/>
      <c r="G40" s="288"/>
      <c r="H40" s="288"/>
      <c r="I40" s="288"/>
      <c r="J40" s="288"/>
      <c r="K40" s="288"/>
      <c r="L40" s="288"/>
      <c r="M40" s="288"/>
      <c r="N40" s="288"/>
      <c r="O40" s="288"/>
      <c r="P40" s="288"/>
      <c r="Q40" s="289"/>
      <c r="S40" s="426">
        <f>$S$39*$X$16</f>
        <v>0</v>
      </c>
      <c r="T40" s="427"/>
      <c r="U40" s="427"/>
      <c r="V40" s="427"/>
      <c r="W40" s="427"/>
      <c r="X40" s="427"/>
      <c r="Y40" s="427"/>
      <c r="Z40" s="427"/>
      <c r="AA40" s="428"/>
    </row>
    <row r="41" spans="2:52" ht="18.75" customHeight="1" x14ac:dyDescent="0.25">
      <c r="AE41" s="17"/>
      <c r="AF41" s="2"/>
    </row>
    <row r="42" spans="2:52" ht="18.75" customHeight="1" x14ac:dyDescent="0.25">
      <c r="B42" s="5" t="s">
        <v>515</v>
      </c>
      <c r="AD42" s="88"/>
      <c r="AE42" s="88"/>
      <c r="AF42" s="88"/>
    </row>
    <row r="43" spans="2:52" ht="18.75" customHeight="1" x14ac:dyDescent="0.25">
      <c r="B43" t="s">
        <v>493</v>
      </c>
      <c r="C43" s="5"/>
      <c r="D43" s="2"/>
    </row>
    <row r="44" spans="2:52" ht="18.75" customHeight="1" thickBot="1" x14ac:dyDescent="0.3">
      <c r="B44" s="69" t="s">
        <v>479</v>
      </c>
      <c r="C44" s="70"/>
      <c r="D44" s="70"/>
      <c r="E44" s="70"/>
      <c r="F44" s="70"/>
      <c r="G44" s="70"/>
      <c r="H44" s="70"/>
      <c r="I44" s="70"/>
      <c r="J44" s="70"/>
      <c r="K44" s="70"/>
      <c r="L44" s="70"/>
      <c r="M44" s="70"/>
      <c r="N44" s="74"/>
      <c r="O44" s="70"/>
      <c r="P44" s="70"/>
      <c r="Q44" s="70"/>
      <c r="R44" s="70"/>
      <c r="S44" s="248" t="s">
        <v>476</v>
      </c>
      <c r="T44" s="248"/>
      <c r="U44" s="248"/>
      <c r="V44" s="249"/>
      <c r="AF44" s="88"/>
    </row>
    <row r="45" spans="2:52" ht="18.75" customHeight="1" x14ac:dyDescent="0.25">
      <c r="B45" s="71" t="s">
        <v>475</v>
      </c>
      <c r="C45" s="72"/>
      <c r="D45" s="72"/>
      <c r="E45" s="72"/>
      <c r="F45" s="72"/>
      <c r="G45" s="72"/>
      <c r="H45" s="72"/>
      <c r="I45" s="72"/>
      <c r="J45" s="72"/>
      <c r="K45" s="72"/>
      <c r="L45" s="72"/>
      <c r="M45" s="72"/>
      <c r="N45" s="72"/>
      <c r="O45" s="72"/>
      <c r="P45" s="72"/>
      <c r="Q45" s="72"/>
      <c r="R45" s="72"/>
      <c r="S45" s="250"/>
      <c r="T45" s="250"/>
      <c r="U45" s="250"/>
      <c r="V45" s="251"/>
    </row>
    <row r="46" spans="2:52" ht="18.75" customHeight="1" x14ac:dyDescent="0.25">
      <c r="B46" s="71" t="s">
        <v>477</v>
      </c>
      <c r="C46" s="72"/>
      <c r="D46" s="72"/>
      <c r="E46" s="72"/>
      <c r="F46" s="72"/>
      <c r="G46" s="72"/>
      <c r="H46" s="72"/>
      <c r="I46" s="72"/>
      <c r="J46" s="72"/>
      <c r="K46" s="72"/>
      <c r="L46" s="72"/>
      <c r="M46" s="72"/>
      <c r="N46" s="72"/>
      <c r="O46" s="72"/>
      <c r="P46" s="72"/>
      <c r="Q46" s="72"/>
      <c r="R46" s="72"/>
      <c r="S46" s="250"/>
      <c r="T46" s="250"/>
      <c r="U46" s="250"/>
      <c r="V46" s="251"/>
    </row>
    <row r="47" spans="2:52" ht="18.75" customHeight="1" thickBot="1" x14ac:dyDescent="0.3">
      <c r="B47" s="71" t="s">
        <v>473</v>
      </c>
      <c r="C47" s="72"/>
      <c r="D47" s="72"/>
      <c r="E47" s="72"/>
      <c r="F47" s="72"/>
      <c r="G47" s="72"/>
      <c r="H47" s="72"/>
      <c r="I47" s="72"/>
      <c r="J47" s="72"/>
      <c r="K47" s="72"/>
      <c r="L47" s="72"/>
      <c r="M47" s="72"/>
      <c r="N47" s="72"/>
      <c r="O47" s="72"/>
      <c r="P47" s="72"/>
      <c r="Q47" s="72"/>
      <c r="R47" s="72"/>
      <c r="S47" s="250"/>
      <c r="T47" s="250"/>
      <c r="U47" s="250"/>
      <c r="V47" s="251"/>
      <c r="X47" s="32"/>
    </row>
    <row r="48" spans="2:52" ht="18.75" customHeight="1" thickBot="1" x14ac:dyDescent="0.3">
      <c r="B48" s="73" t="s">
        <v>478</v>
      </c>
      <c r="C48" s="72"/>
      <c r="D48" s="72"/>
      <c r="E48" s="72"/>
      <c r="F48" s="72"/>
      <c r="G48" s="72"/>
      <c r="H48" s="72"/>
      <c r="I48" s="72"/>
      <c r="J48" s="72"/>
      <c r="K48" s="72"/>
      <c r="L48" s="72"/>
      <c r="M48" s="72"/>
      <c r="N48" s="72"/>
      <c r="O48" s="72"/>
      <c r="P48" s="72"/>
      <c r="Q48" s="72"/>
      <c r="R48" s="72"/>
      <c r="S48" s="250"/>
      <c r="T48" s="250"/>
      <c r="U48" s="250"/>
      <c r="V48" s="251"/>
      <c r="X48" s="63"/>
      <c r="AC48" s="63"/>
      <c r="AH48" s="63"/>
    </row>
    <row r="49" spans="1:27" ht="18.75" customHeight="1" x14ac:dyDescent="0.25">
      <c r="B49" s="71" t="s">
        <v>474</v>
      </c>
      <c r="C49" s="72"/>
      <c r="D49" s="72"/>
      <c r="E49" s="72"/>
      <c r="F49" s="72"/>
      <c r="G49" s="72"/>
      <c r="H49" s="72"/>
      <c r="I49" s="72"/>
      <c r="J49" s="72"/>
      <c r="K49" s="72"/>
      <c r="L49" s="72"/>
      <c r="M49" s="72"/>
      <c r="N49" s="72"/>
      <c r="O49" s="72"/>
      <c r="P49" s="72"/>
      <c r="Q49" s="72"/>
      <c r="R49" s="72"/>
      <c r="S49" s="250"/>
      <c r="T49" s="250"/>
      <c r="U49" s="250"/>
      <c r="V49" s="251"/>
    </row>
    <row r="50" spans="1:27" ht="18.75" customHeight="1" x14ac:dyDescent="0.25">
      <c r="B50" s="71" t="s">
        <v>488</v>
      </c>
      <c r="C50" s="72"/>
      <c r="D50" s="72"/>
      <c r="E50" s="72"/>
      <c r="F50" s="72"/>
      <c r="G50" s="72"/>
      <c r="H50" s="72"/>
      <c r="I50" s="72"/>
      <c r="J50" s="72"/>
      <c r="K50" s="72"/>
      <c r="L50" s="72"/>
      <c r="M50" s="72"/>
      <c r="N50" s="72"/>
      <c r="O50" s="72"/>
      <c r="P50" s="72"/>
      <c r="Q50" s="72"/>
      <c r="R50" s="72"/>
      <c r="S50" s="250"/>
      <c r="T50" s="250"/>
      <c r="U50" s="250"/>
      <c r="V50" s="251"/>
    </row>
    <row r="51" spans="1:27" ht="18.75" customHeight="1" x14ac:dyDescent="0.25">
      <c r="B51" s="73" t="s">
        <v>489</v>
      </c>
      <c r="C51" s="72"/>
      <c r="D51" s="72"/>
      <c r="E51" s="72"/>
      <c r="F51" s="72"/>
      <c r="G51" s="72"/>
      <c r="H51" s="72"/>
      <c r="I51" s="72"/>
      <c r="J51" s="72"/>
      <c r="K51" s="72"/>
      <c r="L51" s="72"/>
      <c r="M51" s="72"/>
      <c r="N51" s="72"/>
      <c r="O51" s="72"/>
      <c r="P51" s="72"/>
      <c r="Q51" s="72"/>
      <c r="R51" s="72"/>
      <c r="S51" s="250"/>
      <c r="T51" s="250"/>
      <c r="U51" s="250"/>
      <c r="V51" s="251"/>
    </row>
    <row r="52" spans="1:27" ht="18.75" customHeight="1" x14ac:dyDescent="0.25">
      <c r="B52" s="75" t="s">
        <v>490</v>
      </c>
      <c r="C52" s="62"/>
      <c r="D52" s="62"/>
      <c r="E52" s="62"/>
      <c r="F52" s="62"/>
      <c r="G52" s="62"/>
      <c r="H52" s="62"/>
      <c r="I52" s="62"/>
      <c r="J52" s="62"/>
      <c r="K52" s="62"/>
      <c r="L52" s="62"/>
      <c r="M52" s="62"/>
      <c r="N52" s="62"/>
      <c r="O52" s="62"/>
      <c r="P52" s="62"/>
      <c r="Q52" s="62"/>
      <c r="R52" s="62"/>
      <c r="S52" s="62"/>
      <c r="T52" s="62"/>
      <c r="U52" s="62"/>
      <c r="V52" s="76"/>
    </row>
    <row r="53" spans="1:27" ht="18.75" customHeight="1" thickBot="1" x14ac:dyDescent="0.3">
      <c r="B53" s="146" t="s">
        <v>689</v>
      </c>
    </row>
    <row r="54" spans="1:27" ht="18.75" customHeight="1" thickBot="1" x14ac:dyDescent="0.3">
      <c r="B54" s="287" t="s">
        <v>410</v>
      </c>
      <c r="C54" s="288"/>
      <c r="D54" s="288"/>
      <c r="E54" s="288"/>
      <c r="F54" s="288"/>
      <c r="G54" s="288"/>
      <c r="H54" s="288"/>
      <c r="I54" s="288"/>
      <c r="J54" s="288"/>
      <c r="K54" s="288"/>
      <c r="L54" s="288"/>
      <c r="M54" s="288"/>
      <c r="N54" s="288"/>
      <c r="O54" s="288"/>
      <c r="P54" s="288"/>
      <c r="Q54" s="289"/>
      <c r="S54" s="277" t="str">
        <f ca="1">IFERROR(IF(S40&lt;0,0,IF(S37*J12&lt;(0.7*$S$40),S37*J12,0.7*$S$40)),"")</f>
        <v/>
      </c>
      <c r="T54" s="278"/>
      <c r="U54" s="278"/>
      <c r="V54" s="278"/>
      <c r="W54" s="278"/>
      <c r="X54" s="278"/>
      <c r="Y54" s="278"/>
      <c r="Z54" s="278"/>
      <c r="AA54" s="279"/>
    </row>
    <row r="55" spans="1:27" ht="18.75" customHeight="1" thickBot="1" x14ac:dyDescent="0.3">
      <c r="B55" s="287" t="s">
        <v>411</v>
      </c>
      <c r="C55" s="288"/>
      <c r="D55" s="288"/>
      <c r="E55" s="288"/>
      <c r="F55" s="288"/>
      <c r="G55" s="288"/>
      <c r="H55" s="288"/>
      <c r="I55" s="288"/>
      <c r="J55" s="288"/>
      <c r="K55" s="288"/>
      <c r="L55" s="288"/>
      <c r="M55" s="288"/>
      <c r="N55" s="288"/>
      <c r="O55" s="288"/>
      <c r="P55" s="288"/>
      <c r="Q55" s="289"/>
      <c r="S55" s="277" t="str">
        <f ca="1">IFERROR(S54*Summary!$M$18,"")</f>
        <v/>
      </c>
      <c r="T55" s="278"/>
      <c r="U55" s="278"/>
      <c r="V55" s="278"/>
      <c r="W55" s="278"/>
      <c r="X55" s="278"/>
      <c r="Y55" s="278"/>
      <c r="Z55" s="278"/>
      <c r="AA55" s="279"/>
    </row>
    <row r="56" spans="1:27" ht="18.75" customHeight="1" thickBot="1" x14ac:dyDescent="0.3">
      <c r="B56" s="287" t="s">
        <v>412</v>
      </c>
      <c r="C56" s="288"/>
      <c r="D56" s="288"/>
      <c r="E56" s="288"/>
      <c r="F56" s="288"/>
      <c r="G56" s="288"/>
      <c r="H56" s="288"/>
      <c r="I56" s="288"/>
      <c r="J56" s="288"/>
      <c r="K56" s="288"/>
      <c r="L56" s="288"/>
      <c r="M56" s="288"/>
      <c r="N56" s="288"/>
      <c r="O56" s="288"/>
      <c r="P56" s="288"/>
      <c r="Q56" s="289"/>
      <c r="S56" s="277" t="str">
        <f ca="1">IFERROR(S54*Summary!$M$19,"")</f>
        <v/>
      </c>
      <c r="T56" s="278"/>
      <c r="U56" s="278"/>
      <c r="V56" s="278"/>
      <c r="W56" s="278"/>
      <c r="X56" s="278"/>
      <c r="Y56" s="278"/>
      <c r="Z56" s="278"/>
      <c r="AA56" s="279"/>
    </row>
    <row r="58" spans="1:27" ht="18.75" customHeight="1" x14ac:dyDescent="0.25">
      <c r="A58" s="68" t="s">
        <v>484</v>
      </c>
    </row>
  </sheetData>
  <sheetProtection password="BD7D" sheet="1" scenarios="1"/>
  <mergeCells count="85">
    <mergeCell ref="B56:Q56"/>
    <mergeCell ref="S54:AA54"/>
    <mergeCell ref="B40:Q40"/>
    <mergeCell ref="X30:AA30"/>
    <mergeCell ref="X31:AA31"/>
    <mergeCell ref="S40:AA40"/>
    <mergeCell ref="S39:AA39"/>
    <mergeCell ref="S56:AA56"/>
    <mergeCell ref="B32:Q32"/>
    <mergeCell ref="B33:Q33"/>
    <mergeCell ref="S36:AA36"/>
    <mergeCell ref="B36:Q36"/>
    <mergeCell ref="X32:AA32"/>
    <mergeCell ref="X33:AA33"/>
    <mergeCell ref="S55:AA55"/>
    <mergeCell ref="B54:Q54"/>
    <mergeCell ref="AC36:AF36"/>
    <mergeCell ref="AC37:AF37"/>
    <mergeCell ref="B37:Q37"/>
    <mergeCell ref="S37:AA37"/>
    <mergeCell ref="S44:V51"/>
    <mergeCell ref="B55:Q55"/>
    <mergeCell ref="B4:G4"/>
    <mergeCell ref="B5:G5"/>
    <mergeCell ref="B6:G6"/>
    <mergeCell ref="B12:I12"/>
    <mergeCell ref="B28:Q28"/>
    <mergeCell ref="B7:G7"/>
    <mergeCell ref="B8:G8"/>
    <mergeCell ref="H4:AA4"/>
    <mergeCell ref="H5:AA5"/>
    <mergeCell ref="H6:AA6"/>
    <mergeCell ref="H7:AA7"/>
    <mergeCell ref="H8:AA8"/>
    <mergeCell ref="J12:AA12"/>
    <mergeCell ref="X18:AA18"/>
    <mergeCell ref="S20:V20"/>
    <mergeCell ref="B26:Q26"/>
    <mergeCell ref="B18:Q18"/>
    <mergeCell ref="B25:Q25"/>
    <mergeCell ref="B17:Q17"/>
    <mergeCell ref="B19:Q19"/>
    <mergeCell ref="B20:Q20"/>
    <mergeCell ref="B22:Q22"/>
    <mergeCell ref="B23:Q23"/>
    <mergeCell ref="X26:AA26"/>
    <mergeCell ref="X28:AA28"/>
    <mergeCell ref="S28:V28"/>
    <mergeCell ref="AC2:AI2"/>
    <mergeCell ref="AC3:AI3"/>
    <mergeCell ref="AC4:AI4"/>
    <mergeCell ref="S14:V15"/>
    <mergeCell ref="X14:AA15"/>
    <mergeCell ref="X19:AA19"/>
    <mergeCell ref="X20:AA20"/>
    <mergeCell ref="X22:AA22"/>
    <mergeCell ref="AC18:AL20"/>
    <mergeCell ref="X17:AA17"/>
    <mergeCell ref="S17:V17"/>
    <mergeCell ref="S22:V22"/>
    <mergeCell ref="B35:Q35"/>
    <mergeCell ref="S35:AA35"/>
    <mergeCell ref="B39:Q39"/>
    <mergeCell ref="S18:V18"/>
    <mergeCell ref="S19:V19"/>
    <mergeCell ref="S25:V25"/>
    <mergeCell ref="S26:V26"/>
    <mergeCell ref="S23:V23"/>
    <mergeCell ref="S30:V30"/>
    <mergeCell ref="S31:V31"/>
    <mergeCell ref="S32:V32"/>
    <mergeCell ref="S33:V33"/>
    <mergeCell ref="B30:Q30"/>
    <mergeCell ref="B31:Q31"/>
    <mergeCell ref="X23:AA23"/>
    <mergeCell ref="X25:AA25"/>
    <mergeCell ref="B16:Q16"/>
    <mergeCell ref="S16:V16"/>
    <mergeCell ref="X16:AA16"/>
    <mergeCell ref="B9:G9"/>
    <mergeCell ref="B10:G10"/>
    <mergeCell ref="B11:G11"/>
    <mergeCell ref="H9:AA9"/>
    <mergeCell ref="H10:AA10"/>
    <mergeCell ref="H11:AA11"/>
  </mergeCells>
  <conditionalFormatting sqref="S17:V17 H6:H8 S39">
    <cfRule type="expression" dxfId="103" priority="900">
      <formula>IF(OR(H6="--Select--",ISBLANK(H6)),TRUE,FALSE)</formula>
    </cfRule>
  </conditionalFormatting>
  <conditionalFormatting sqref="S18:V19">
    <cfRule type="expression" dxfId="102" priority="819">
      <formula>IF(OR(S18="--Select--",ISBLANK(S18)),TRUE,FALSE)</formula>
    </cfRule>
  </conditionalFormatting>
  <conditionalFormatting sqref="X17:AA19">
    <cfRule type="expression" dxfId="101" priority="332">
      <formula>IF(OR(X17="--Select--",ISBLANK(X17)),TRUE,FALSE)</formula>
    </cfRule>
  </conditionalFormatting>
  <conditionalFormatting sqref="S23:V23">
    <cfRule type="expression" dxfId="100" priority="246">
      <formula>IF(OR(S23="--Select--",ISBLANK(S23)),TRUE,FALSE)</formula>
    </cfRule>
  </conditionalFormatting>
  <conditionalFormatting sqref="X23:AA23">
    <cfRule type="expression" dxfId="99" priority="42">
      <formula>IF(OR(X23="--Select--",ISBLANK(X23)),TRUE,FALSE)</formula>
    </cfRule>
  </conditionalFormatting>
  <conditionalFormatting sqref="S25:V26">
    <cfRule type="expression" dxfId="98" priority="41">
      <formula>IF(OR(S25="--Select--",ISBLANK(S25)),TRUE,FALSE)</formula>
    </cfRule>
  </conditionalFormatting>
  <conditionalFormatting sqref="X25:AA26">
    <cfRule type="expression" dxfId="97" priority="40">
      <formula>IF(OR(X25="--Select--",ISBLANK(X25)),TRUE,FALSE)</formula>
    </cfRule>
  </conditionalFormatting>
  <conditionalFormatting sqref="S28:V28">
    <cfRule type="expression" dxfId="96" priority="39">
      <formula>IF(OR(S28="--Select--",ISBLANK(S28)),TRUE,FALSE)</formula>
    </cfRule>
  </conditionalFormatting>
  <conditionalFormatting sqref="J12">
    <cfRule type="expression" dxfId="95" priority="38">
      <formula>IF(OR(J12="--Select--",ISBLANK(J12)),TRUE,FALSE)</formula>
    </cfRule>
  </conditionalFormatting>
  <conditionalFormatting sqref="H10">
    <cfRule type="expression" dxfId="94" priority="37">
      <formula>IF(OR(H10="--Select--",ISBLANK(H10)),TRUE,FALSE)</formula>
    </cfRule>
  </conditionalFormatting>
  <conditionalFormatting sqref="X28:AA28">
    <cfRule type="expression" dxfId="93" priority="35">
      <formula>IF(OR(X28="--Select--",ISBLANK(X28)),TRUE,FALSE)</formula>
    </cfRule>
  </conditionalFormatting>
  <conditionalFormatting sqref="H4">
    <cfRule type="expression" dxfId="92" priority="26">
      <formula>IF(OR(H4="--Select--",ISBLANK(H4)),TRUE,FALSE)</formula>
    </cfRule>
  </conditionalFormatting>
  <conditionalFormatting sqref="H5:H8">
    <cfRule type="expression" dxfId="91" priority="22">
      <formula>IF(OR(H5="--Select--",ISBLANK(H5)),TRUE,FALSE)</formula>
    </cfRule>
  </conditionalFormatting>
  <conditionalFormatting sqref="H9">
    <cfRule type="expression" dxfId="90" priority="21">
      <formula>IF(OR(H9="--Select--",ISBLANK(H9)),TRUE,FALSE)</formula>
    </cfRule>
  </conditionalFormatting>
  <pageMargins left="0.7" right="0.7" top="0.75" bottom="0.75" header="0.3" footer="0.3"/>
  <pageSetup orientation="portrait" r:id="rId1"/>
  <ignoredErrors>
    <ignoredError sqref="X18:X19 X23" unlockedFormula="1"/>
  </ignoredErrors>
  <extLst>
    <ext xmlns:x14="http://schemas.microsoft.com/office/spreadsheetml/2009/9/main" uri="{78C0D931-6437-407d-A8EE-F0AAD7539E65}">
      <x14:conditionalFormattings>
        <x14:conditionalFormatting xmlns:xm="http://schemas.microsoft.com/office/excel/2006/main">
          <x14:cfRule type="expression" priority="1" id="{3332B1CE-3105-4AE5-9847-0B2A7BB22077}">
            <xm:f>OR(Summary!$P$23="--Select--",Summary!$P$12="--Select--",Summary!$P$12="Re-Conductor Only")</xm:f>
            <x14:dxf>
              <fill>
                <patternFill>
                  <bgColor theme="1"/>
                </patternFill>
              </fill>
            </x14:dxf>
          </x14:cfRule>
          <xm:sqref>A1:XFD1048576</xm:sqref>
        </x14:conditionalFormatting>
      </x14:conditionalFormattings>
    </ext>
    <ext xmlns:x14="http://schemas.microsoft.com/office/spreadsheetml/2009/9/main" uri="{CCE6A557-97BC-4b89-ADB6-D9C93CAAB3DF}">
      <x14:dataValidations xmlns:xm="http://schemas.microsoft.com/office/excel/2006/main" count="2">
        <x14:dataValidation type="list" allowBlank="1" showInputMessage="1" showErrorMessage="1">
          <x14:formula1>
            <xm:f>Lists!$J$2:$J$6</xm:f>
          </x14:formula1>
          <xm:sqref>H9</xm:sqref>
        </x14:dataValidation>
        <x14:dataValidation type="list" allowBlank="1" showInputMessage="1" showErrorMessage="1">
          <x14:formula1>
            <xm:f>Lists!$L$2:$L$4</xm:f>
          </x14:formula1>
          <xm:sqref>H10</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Z58"/>
  <sheetViews>
    <sheetView showGridLines="0" zoomScaleNormal="100" workbookViewId="0">
      <selection activeCell="H4" sqref="H4:AA4"/>
    </sheetView>
  </sheetViews>
  <sheetFormatPr defaultColWidth="3.5703125" defaultRowHeight="18.75" customHeight="1" x14ac:dyDescent="0.25"/>
  <sheetData>
    <row r="1" spans="1:78" ht="18.75" customHeight="1" x14ac:dyDescent="0.3">
      <c r="A1" s="95"/>
      <c r="B1" s="94" t="s">
        <v>504</v>
      </c>
      <c r="C1" s="95"/>
      <c r="D1" s="95"/>
      <c r="E1" s="95"/>
      <c r="F1" s="95"/>
      <c r="G1" s="95"/>
      <c r="H1" s="95"/>
      <c r="I1" s="95"/>
      <c r="J1" s="95"/>
      <c r="K1" s="95"/>
      <c r="L1" s="95"/>
      <c r="M1" s="95"/>
      <c r="N1" s="95"/>
      <c r="O1" s="95"/>
      <c r="P1" s="95"/>
      <c r="Q1" s="95"/>
      <c r="R1" s="95"/>
      <c r="S1" s="95"/>
      <c r="T1" s="95"/>
      <c r="U1" s="95"/>
      <c r="V1" s="95"/>
      <c r="W1" s="95"/>
      <c r="X1" s="95"/>
      <c r="Y1" s="95"/>
      <c r="Z1" s="95"/>
      <c r="AA1" s="95"/>
      <c r="AB1" s="95"/>
      <c r="AC1" s="95"/>
      <c r="AD1" s="95"/>
      <c r="AE1" s="95"/>
      <c r="AF1" s="95"/>
      <c r="AG1" s="95"/>
      <c r="AH1" s="95"/>
      <c r="AI1" s="95"/>
      <c r="AJ1" s="95"/>
      <c r="AK1" s="95"/>
      <c r="AL1" s="95"/>
      <c r="AM1" s="95"/>
      <c r="AN1" s="95"/>
      <c r="AO1" s="95"/>
      <c r="AP1" s="95"/>
      <c r="AQ1" s="95"/>
      <c r="AR1" s="95"/>
      <c r="AS1" s="95"/>
      <c r="AT1" s="95"/>
      <c r="AU1" s="95"/>
      <c r="AV1" s="95"/>
      <c r="AW1" s="95"/>
      <c r="AX1" s="95"/>
      <c r="AY1" s="95"/>
      <c r="AZ1" s="95"/>
      <c r="BA1" s="95"/>
      <c r="BB1" s="95"/>
      <c r="BC1" s="95"/>
      <c r="BD1" s="95"/>
      <c r="BE1" s="95"/>
      <c r="BF1" s="95"/>
      <c r="BG1" s="95"/>
      <c r="BH1" s="95"/>
      <c r="BI1" s="95"/>
      <c r="BJ1" s="95"/>
      <c r="BK1" s="95"/>
      <c r="BL1" s="95"/>
      <c r="BM1" s="95"/>
      <c r="BN1" s="95"/>
      <c r="BO1" s="95"/>
      <c r="BP1" s="95"/>
      <c r="BQ1" s="95"/>
      <c r="BR1" s="95"/>
      <c r="BS1" s="95"/>
      <c r="BT1" s="95"/>
      <c r="BU1" s="95"/>
      <c r="BV1" s="95"/>
      <c r="BW1" s="95"/>
      <c r="BX1" s="95"/>
      <c r="BY1" s="95"/>
      <c r="BZ1" s="95"/>
    </row>
    <row r="2" spans="1:78" ht="18.75" customHeight="1" x14ac:dyDescent="0.25">
      <c r="D2" s="2"/>
      <c r="E2" s="2"/>
      <c r="F2" s="2"/>
      <c r="G2" s="2"/>
      <c r="H2" s="2"/>
      <c r="I2" s="2"/>
      <c r="AC2" s="302" t="s">
        <v>391</v>
      </c>
      <c r="AD2" s="302"/>
      <c r="AE2" s="302"/>
      <c r="AF2" s="302"/>
      <c r="AG2" s="302"/>
      <c r="AH2" s="302"/>
      <c r="AI2" s="302"/>
    </row>
    <row r="3" spans="1:78" ht="18.75" customHeight="1" x14ac:dyDescent="0.25">
      <c r="B3" s="2"/>
      <c r="C3" s="2"/>
      <c r="D3" s="2"/>
      <c r="E3" s="2"/>
      <c r="F3" s="2"/>
      <c r="G3" s="2"/>
      <c r="AC3" s="380" t="s">
        <v>392</v>
      </c>
      <c r="AD3" s="380"/>
      <c r="AE3" s="380"/>
      <c r="AF3" s="380"/>
      <c r="AG3" s="380"/>
      <c r="AH3" s="380"/>
      <c r="AI3" s="380"/>
    </row>
    <row r="4" spans="1:78" ht="18.75" customHeight="1" x14ac:dyDescent="0.25">
      <c r="B4" s="162" t="s">
        <v>455</v>
      </c>
      <c r="C4" s="162"/>
      <c r="D4" s="162"/>
      <c r="E4" s="162"/>
      <c r="F4" s="162"/>
      <c r="G4" s="162"/>
      <c r="H4" s="430"/>
      <c r="I4" s="430"/>
      <c r="J4" s="430"/>
      <c r="K4" s="430"/>
      <c r="L4" s="430"/>
      <c r="M4" s="430"/>
      <c r="N4" s="430"/>
      <c r="O4" s="430"/>
      <c r="P4" s="430"/>
      <c r="Q4" s="430"/>
      <c r="R4" s="430"/>
      <c r="S4" s="430"/>
      <c r="T4" s="430"/>
      <c r="U4" s="430"/>
      <c r="V4" s="430"/>
      <c r="W4" s="430"/>
      <c r="X4" s="430"/>
      <c r="Y4" s="430"/>
      <c r="Z4" s="430"/>
      <c r="AA4" s="430"/>
      <c r="AC4" s="381" t="s">
        <v>393</v>
      </c>
      <c r="AD4" s="381"/>
      <c r="AE4" s="381"/>
      <c r="AF4" s="381"/>
      <c r="AG4" s="381"/>
      <c r="AH4" s="381"/>
      <c r="AI4" s="381"/>
    </row>
    <row r="5" spans="1:78" ht="18.75" customHeight="1" x14ac:dyDescent="0.25">
      <c r="B5" s="162" t="s">
        <v>67</v>
      </c>
      <c r="C5" s="162"/>
      <c r="D5" s="162"/>
      <c r="E5" s="162"/>
      <c r="F5" s="162"/>
      <c r="G5" s="162"/>
      <c r="H5" s="429"/>
      <c r="I5" s="429"/>
      <c r="J5" s="429"/>
      <c r="K5" s="429"/>
      <c r="L5" s="429"/>
      <c r="M5" s="429"/>
      <c r="N5" s="429"/>
      <c r="O5" s="429"/>
      <c r="P5" s="429"/>
      <c r="Q5" s="429"/>
      <c r="R5" s="429"/>
      <c r="S5" s="429"/>
      <c r="T5" s="429"/>
      <c r="U5" s="429"/>
      <c r="V5" s="429"/>
      <c r="W5" s="429"/>
      <c r="X5" s="429"/>
      <c r="Y5" s="429"/>
      <c r="Z5" s="429"/>
      <c r="AA5" s="429"/>
    </row>
    <row r="6" spans="1:78" ht="18.75" customHeight="1" x14ac:dyDescent="0.25">
      <c r="B6" s="162" t="s">
        <v>468</v>
      </c>
      <c r="C6" s="162"/>
      <c r="D6" s="162"/>
      <c r="E6" s="162"/>
      <c r="F6" s="162"/>
      <c r="G6" s="162"/>
      <c r="H6" s="429"/>
      <c r="I6" s="429"/>
      <c r="J6" s="429"/>
      <c r="K6" s="429"/>
      <c r="L6" s="429"/>
      <c r="M6" s="429"/>
      <c r="N6" s="429"/>
      <c r="O6" s="429"/>
      <c r="P6" s="429"/>
      <c r="Q6" s="429"/>
      <c r="R6" s="429"/>
      <c r="S6" s="429"/>
      <c r="T6" s="429"/>
      <c r="U6" s="429"/>
      <c r="V6" s="429"/>
      <c r="W6" s="429"/>
      <c r="X6" s="429"/>
      <c r="Y6" s="429"/>
      <c r="Z6" s="429"/>
      <c r="AA6" s="429"/>
      <c r="AL6" s="2"/>
    </row>
    <row r="7" spans="1:78" ht="18.75" customHeight="1" x14ac:dyDescent="0.25">
      <c r="B7" s="162" t="s">
        <v>12</v>
      </c>
      <c r="C7" s="162"/>
      <c r="D7" s="162"/>
      <c r="E7" s="162"/>
      <c r="F7" s="162"/>
      <c r="G7" s="162"/>
      <c r="H7" s="429"/>
      <c r="I7" s="429"/>
      <c r="J7" s="429"/>
      <c r="K7" s="429"/>
      <c r="L7" s="429"/>
      <c r="M7" s="429"/>
      <c r="N7" s="429"/>
      <c r="O7" s="429"/>
      <c r="P7" s="429"/>
      <c r="Q7" s="429"/>
      <c r="R7" s="429"/>
      <c r="S7" s="429"/>
      <c r="T7" s="429"/>
      <c r="U7" s="429"/>
      <c r="V7" s="429"/>
      <c r="W7" s="429"/>
      <c r="X7" s="429"/>
      <c r="Y7" s="429"/>
      <c r="Z7" s="429"/>
      <c r="AA7" s="429"/>
      <c r="AF7" s="8"/>
      <c r="AG7" s="8"/>
      <c r="AH7" s="8"/>
      <c r="AI7" s="2"/>
      <c r="AJ7" s="2"/>
      <c r="AK7" s="2"/>
      <c r="AL7" s="2"/>
    </row>
    <row r="8" spans="1:78" ht="18.75" customHeight="1" x14ac:dyDescent="0.25">
      <c r="B8" s="162" t="s">
        <v>13</v>
      </c>
      <c r="C8" s="162"/>
      <c r="D8" s="162"/>
      <c r="E8" s="162"/>
      <c r="F8" s="162"/>
      <c r="G8" s="162"/>
      <c r="H8" s="429"/>
      <c r="I8" s="429"/>
      <c r="J8" s="429"/>
      <c r="K8" s="429"/>
      <c r="L8" s="429"/>
      <c r="M8" s="429"/>
      <c r="N8" s="429"/>
      <c r="O8" s="429"/>
      <c r="P8" s="429"/>
      <c r="Q8" s="429"/>
      <c r="R8" s="429"/>
      <c r="S8" s="429"/>
      <c r="T8" s="429"/>
      <c r="U8" s="429"/>
      <c r="V8" s="429"/>
      <c r="W8" s="429"/>
      <c r="X8" s="429"/>
      <c r="Y8" s="429"/>
      <c r="Z8" s="429"/>
      <c r="AA8" s="429"/>
      <c r="AF8" s="8"/>
      <c r="AG8" s="8"/>
      <c r="AH8" s="8"/>
      <c r="AI8" s="2"/>
      <c r="AJ8" s="2"/>
      <c r="AK8" s="2"/>
      <c r="AL8" s="2"/>
    </row>
    <row r="9" spans="1:78" ht="18.75" customHeight="1" x14ac:dyDescent="0.25">
      <c r="B9" s="162" t="s">
        <v>48</v>
      </c>
      <c r="C9" s="162"/>
      <c r="D9" s="162"/>
      <c r="E9" s="162"/>
      <c r="F9" s="162"/>
      <c r="G9" s="162"/>
      <c r="H9" s="172" t="s">
        <v>3</v>
      </c>
      <c r="I9" s="172"/>
      <c r="J9" s="172"/>
      <c r="K9" s="172"/>
      <c r="L9" s="172"/>
      <c r="M9" s="172"/>
      <c r="N9" s="172"/>
      <c r="O9" s="172"/>
      <c r="P9" s="172"/>
      <c r="Q9" s="172"/>
      <c r="R9" s="172"/>
      <c r="S9" s="172"/>
      <c r="T9" s="172"/>
      <c r="U9" s="172"/>
      <c r="V9" s="172"/>
      <c r="W9" s="172"/>
      <c r="X9" s="172"/>
      <c r="Y9" s="172"/>
      <c r="Z9" s="172"/>
      <c r="AA9" s="172"/>
      <c r="AF9" s="3"/>
      <c r="AG9" s="4"/>
      <c r="AH9" s="3"/>
      <c r="AI9" s="3"/>
      <c r="AJ9" s="3"/>
      <c r="AK9" s="3"/>
      <c r="AL9" s="2"/>
    </row>
    <row r="10" spans="1:78" ht="18.75" customHeight="1" x14ac:dyDescent="0.25">
      <c r="B10" s="162" t="s">
        <v>425</v>
      </c>
      <c r="C10" s="162"/>
      <c r="D10" s="162"/>
      <c r="E10" s="162"/>
      <c r="F10" s="162"/>
      <c r="G10" s="162"/>
      <c r="H10" s="172" t="s">
        <v>3</v>
      </c>
      <c r="I10" s="172"/>
      <c r="J10" s="172"/>
      <c r="K10" s="172"/>
      <c r="L10" s="172"/>
      <c r="M10" s="172"/>
      <c r="N10" s="172"/>
      <c r="O10" s="172"/>
      <c r="P10" s="172"/>
      <c r="Q10" s="172"/>
      <c r="R10" s="172"/>
      <c r="S10" s="172"/>
      <c r="T10" s="172"/>
      <c r="U10" s="172"/>
      <c r="V10" s="172"/>
      <c r="W10" s="172"/>
      <c r="X10" s="172"/>
      <c r="Y10" s="172"/>
      <c r="Z10" s="172"/>
      <c r="AA10" s="172"/>
      <c r="AF10" s="3"/>
      <c r="AG10" s="4"/>
      <c r="AI10" s="2"/>
      <c r="AJ10" s="2"/>
      <c r="AK10" s="3"/>
      <c r="AL10" s="2"/>
    </row>
    <row r="11" spans="1:78" ht="18.75" customHeight="1" x14ac:dyDescent="0.25">
      <c r="B11" s="162" t="s">
        <v>14</v>
      </c>
      <c r="C11" s="162"/>
      <c r="D11" s="162"/>
      <c r="E11" s="162"/>
      <c r="F11" s="162"/>
      <c r="G11" s="162"/>
      <c r="H11" s="399" t="str">
        <f>IF(H10="New Construction","UUDTR95006",IF(H10="Retrofit","UUDTR85006",""))</f>
        <v/>
      </c>
      <c r="I11" s="399"/>
      <c r="J11" s="399"/>
      <c r="K11" s="399"/>
      <c r="L11" s="399"/>
      <c r="M11" s="399"/>
      <c r="N11" s="399"/>
      <c r="O11" s="399"/>
      <c r="P11" s="399"/>
      <c r="Q11" s="399"/>
      <c r="R11" s="399"/>
      <c r="S11" s="399"/>
      <c r="T11" s="399"/>
      <c r="U11" s="399"/>
      <c r="V11" s="399"/>
      <c r="W11" s="399"/>
      <c r="X11" s="399"/>
      <c r="Y11" s="399"/>
      <c r="Z11" s="399"/>
      <c r="AA11" s="399"/>
    </row>
    <row r="12" spans="1:78" ht="18.75" customHeight="1" x14ac:dyDescent="0.25">
      <c r="B12" s="162" t="s">
        <v>480</v>
      </c>
      <c r="C12" s="162"/>
      <c r="D12" s="162"/>
      <c r="E12" s="162"/>
      <c r="F12" s="162"/>
      <c r="G12" s="162"/>
      <c r="H12" s="162"/>
      <c r="I12" s="162"/>
      <c r="J12" s="328" t="str">
        <f ca="1">IF(OR(ISBLANK($H$5),H10="--Select--"),"",OFFSET(Lists!$AI$1,MATCH(H11,Lists!$AA$2:$AA$4,FALSE),MATCH($H$5,Lists!$AJ$1:$BA$1,1)))</f>
        <v/>
      </c>
      <c r="K12" s="328"/>
      <c r="L12" s="328"/>
      <c r="M12" s="328"/>
      <c r="N12" s="328"/>
      <c r="O12" s="328"/>
      <c r="P12" s="328"/>
      <c r="Q12" s="328"/>
      <c r="R12" s="328"/>
      <c r="S12" s="328"/>
      <c r="T12" s="328"/>
      <c r="U12" s="328"/>
      <c r="V12" s="328"/>
      <c r="W12" s="328"/>
      <c r="X12" s="328"/>
      <c r="Y12" s="328"/>
      <c r="Z12" s="328"/>
      <c r="AA12" s="328"/>
    </row>
    <row r="13" spans="1:78" ht="18.75" customHeight="1" thickBot="1" x14ac:dyDescent="0.3">
      <c r="B13" s="2"/>
      <c r="C13" s="2"/>
      <c r="D13" s="2"/>
      <c r="E13" s="2"/>
      <c r="F13" s="2"/>
      <c r="G13" s="2"/>
      <c r="H13" s="2"/>
      <c r="I13" s="2"/>
    </row>
    <row r="14" spans="1:78" ht="18.75" customHeight="1" x14ac:dyDescent="0.25">
      <c r="E14" s="2"/>
      <c r="G14" s="2"/>
      <c r="H14" s="2"/>
      <c r="I14" s="2"/>
      <c r="S14" s="309" t="s">
        <v>22</v>
      </c>
      <c r="T14" s="310"/>
      <c r="U14" s="310"/>
      <c r="V14" s="311"/>
      <c r="X14" s="309" t="s">
        <v>30</v>
      </c>
      <c r="Y14" s="310"/>
      <c r="Z14" s="310"/>
      <c r="AA14" s="311"/>
    </row>
    <row r="15" spans="1:78" ht="18.75" customHeight="1" thickBot="1" x14ac:dyDescent="0.3">
      <c r="C15" s="2"/>
      <c r="D15" s="2"/>
      <c r="E15" s="2"/>
      <c r="F15" s="2"/>
      <c r="G15" s="2"/>
      <c r="H15" s="2"/>
      <c r="I15" s="2"/>
      <c r="J15" s="2"/>
      <c r="S15" s="312"/>
      <c r="T15" s="313"/>
      <c r="U15" s="313"/>
      <c r="V15" s="314"/>
      <c r="X15" s="312"/>
      <c r="Y15" s="313"/>
      <c r="Z15" s="313"/>
      <c r="AA15" s="314"/>
    </row>
    <row r="16" spans="1:78" s="119" customFormat="1" ht="18.75" customHeight="1" x14ac:dyDescent="0.3">
      <c r="B16" s="390" t="s">
        <v>690</v>
      </c>
      <c r="C16" s="391"/>
      <c r="D16" s="391"/>
      <c r="E16" s="391"/>
      <c r="F16" s="391"/>
      <c r="G16" s="391"/>
      <c r="H16" s="391"/>
      <c r="I16" s="391"/>
      <c r="J16" s="391"/>
      <c r="K16" s="391"/>
      <c r="L16" s="391"/>
      <c r="M16" s="391"/>
      <c r="N16" s="391"/>
      <c r="O16" s="391"/>
      <c r="P16" s="391"/>
      <c r="Q16" s="392"/>
      <c r="S16" s="393"/>
      <c r="T16" s="394"/>
      <c r="U16" s="394"/>
      <c r="V16" s="395"/>
      <c r="X16" s="396">
        <v>1</v>
      </c>
      <c r="Y16" s="397"/>
      <c r="Z16" s="397"/>
      <c r="AA16" s="398"/>
    </row>
    <row r="17" spans="2:58" ht="18.75" customHeight="1" x14ac:dyDescent="0.25">
      <c r="B17" s="256" t="s">
        <v>676</v>
      </c>
      <c r="C17" s="256"/>
      <c r="D17" s="256"/>
      <c r="E17" s="256"/>
      <c r="F17" s="256"/>
      <c r="G17" s="256"/>
      <c r="H17" s="256"/>
      <c r="I17" s="256"/>
      <c r="J17" s="256"/>
      <c r="K17" s="256"/>
      <c r="L17" s="256"/>
      <c r="M17" s="256"/>
      <c r="N17" s="256"/>
      <c r="O17" s="256"/>
      <c r="P17" s="256"/>
      <c r="Q17" s="256"/>
      <c r="S17" s="400"/>
      <c r="T17" s="400"/>
      <c r="U17" s="400"/>
      <c r="V17" s="400"/>
      <c r="W17" s="33"/>
      <c r="X17" s="400"/>
      <c r="Y17" s="400"/>
      <c r="Z17" s="400"/>
      <c r="AA17" s="400"/>
      <c r="AC17" s="2"/>
      <c r="AL17" s="2"/>
      <c r="AM17" s="2"/>
      <c r="AN17" s="2"/>
    </row>
    <row r="18" spans="2:58" ht="18.75" customHeight="1" x14ac:dyDescent="0.25">
      <c r="B18" s="256" t="s">
        <v>674</v>
      </c>
      <c r="C18" s="256"/>
      <c r="D18" s="256"/>
      <c r="E18" s="256"/>
      <c r="F18" s="256"/>
      <c r="G18" s="256"/>
      <c r="H18" s="256"/>
      <c r="I18" s="256"/>
      <c r="J18" s="256"/>
      <c r="K18" s="256"/>
      <c r="L18" s="256"/>
      <c r="M18" s="256"/>
      <c r="N18" s="256"/>
      <c r="O18" s="256"/>
      <c r="P18" s="256"/>
      <c r="Q18" s="256"/>
      <c r="S18" s="400"/>
      <c r="T18" s="400"/>
      <c r="U18" s="400"/>
      <c r="V18" s="400"/>
      <c r="W18" s="33"/>
      <c r="X18" s="407">
        <f>S18</f>
        <v>0</v>
      </c>
      <c r="Y18" s="408"/>
      <c r="Z18" s="408"/>
      <c r="AA18" s="409"/>
      <c r="AC18" s="343" t="s">
        <v>670</v>
      </c>
      <c r="AD18" s="344"/>
      <c r="AE18" s="344"/>
      <c r="AF18" s="344"/>
      <c r="AG18" s="344"/>
      <c r="AH18" s="344"/>
      <c r="AI18" s="344"/>
      <c r="AJ18" s="344"/>
      <c r="AK18" s="344"/>
      <c r="AL18" s="345"/>
      <c r="AM18" s="2"/>
      <c r="AN18" s="2"/>
    </row>
    <row r="19" spans="2:58" ht="18.75" customHeight="1" x14ac:dyDescent="0.25">
      <c r="B19" s="256" t="s">
        <v>675</v>
      </c>
      <c r="C19" s="256"/>
      <c r="D19" s="256"/>
      <c r="E19" s="256"/>
      <c r="F19" s="256"/>
      <c r="G19" s="256"/>
      <c r="H19" s="256"/>
      <c r="I19" s="256"/>
      <c r="J19" s="256"/>
      <c r="K19" s="256"/>
      <c r="L19" s="256"/>
      <c r="M19" s="256"/>
      <c r="N19" s="256"/>
      <c r="O19" s="256"/>
      <c r="P19" s="256"/>
      <c r="Q19" s="256"/>
      <c r="S19" s="400"/>
      <c r="T19" s="400"/>
      <c r="U19" s="400"/>
      <c r="V19" s="400"/>
      <c r="W19" s="33"/>
      <c r="X19" s="407">
        <f>S19</f>
        <v>0</v>
      </c>
      <c r="Y19" s="408"/>
      <c r="Z19" s="408"/>
      <c r="AA19" s="409"/>
      <c r="AC19" s="346"/>
      <c r="AD19" s="347"/>
      <c r="AE19" s="347"/>
      <c r="AF19" s="347"/>
      <c r="AG19" s="347"/>
      <c r="AH19" s="347"/>
      <c r="AI19" s="347"/>
      <c r="AJ19" s="347"/>
      <c r="AK19" s="347"/>
      <c r="AL19" s="348"/>
      <c r="AM19" s="2"/>
      <c r="AN19" s="2"/>
    </row>
    <row r="20" spans="2:58" ht="18.75" customHeight="1" x14ac:dyDescent="0.25">
      <c r="B20" s="256" t="s">
        <v>49</v>
      </c>
      <c r="C20" s="256"/>
      <c r="D20" s="256"/>
      <c r="E20" s="256"/>
      <c r="F20" s="256"/>
      <c r="G20" s="256"/>
      <c r="H20" s="256"/>
      <c r="I20" s="256"/>
      <c r="J20" s="256"/>
      <c r="K20" s="256"/>
      <c r="L20" s="256"/>
      <c r="M20" s="256"/>
      <c r="N20" s="256"/>
      <c r="O20" s="256"/>
      <c r="P20" s="256"/>
      <c r="Q20" s="256"/>
      <c r="S20" s="417" t="str">
        <f>IFERROR($S$19/$S$18,"")</f>
        <v/>
      </c>
      <c r="T20" s="418"/>
      <c r="U20" s="418"/>
      <c r="V20" s="419"/>
      <c r="W20" s="33"/>
      <c r="X20" s="414" t="str">
        <f>IFERROR($X$19/$X$18,"")</f>
        <v/>
      </c>
      <c r="Y20" s="415"/>
      <c r="Z20" s="415"/>
      <c r="AA20" s="416"/>
      <c r="AC20" s="349"/>
      <c r="AD20" s="350"/>
      <c r="AE20" s="350"/>
      <c r="AF20" s="350"/>
      <c r="AG20" s="350"/>
      <c r="AH20" s="350"/>
      <c r="AI20" s="350"/>
      <c r="AJ20" s="350"/>
      <c r="AK20" s="350"/>
      <c r="AL20" s="351"/>
      <c r="AM20" s="66"/>
      <c r="AN20" s="66"/>
      <c r="AO20" s="66"/>
      <c r="AP20" s="66"/>
      <c r="AQ20" s="66"/>
      <c r="AR20" s="66"/>
      <c r="AS20" s="66"/>
      <c r="AT20" s="66"/>
      <c r="AU20" s="66"/>
      <c r="AV20" s="66"/>
      <c r="AW20" s="66"/>
      <c r="AX20" s="66"/>
      <c r="AY20" s="66"/>
      <c r="AZ20" s="66"/>
      <c r="BA20" s="66"/>
      <c r="BB20" s="66"/>
      <c r="BC20" s="66"/>
      <c r="BD20" s="66"/>
      <c r="BE20" s="66"/>
      <c r="BF20" s="66"/>
    </row>
    <row r="21" spans="2:58" ht="18.75" customHeight="1" x14ac:dyDescent="0.25">
      <c r="B21" s="2"/>
      <c r="C21" s="2"/>
      <c r="D21" s="2"/>
      <c r="S21" s="32"/>
      <c r="T21" s="32"/>
      <c r="U21" s="32"/>
      <c r="V21" s="32"/>
      <c r="W21" s="32"/>
      <c r="X21" s="2"/>
      <c r="Y21" s="2"/>
      <c r="AC21" s="2"/>
      <c r="AE21" s="17"/>
      <c r="AI21" s="2"/>
      <c r="AL21" s="2"/>
      <c r="AM21" s="2"/>
      <c r="AN21" s="2"/>
      <c r="AT21" s="2"/>
    </row>
    <row r="22" spans="2:58" ht="18.75" customHeight="1" x14ac:dyDescent="0.25">
      <c r="B22" s="256" t="s">
        <v>470</v>
      </c>
      <c r="C22" s="256"/>
      <c r="D22" s="256"/>
      <c r="E22" s="256"/>
      <c r="F22" s="256"/>
      <c r="G22" s="256"/>
      <c r="H22" s="256"/>
      <c r="I22" s="256"/>
      <c r="J22" s="256"/>
      <c r="K22" s="256"/>
      <c r="L22" s="256"/>
      <c r="M22" s="256"/>
      <c r="N22" s="256"/>
      <c r="O22" s="256"/>
      <c r="P22" s="256"/>
      <c r="Q22" s="256"/>
      <c r="S22" s="417" t="str">
        <f>IFERROR($S$20^2*0.85+$S$20*0.15,"")</f>
        <v/>
      </c>
      <c r="T22" s="418"/>
      <c r="U22" s="418"/>
      <c r="V22" s="419"/>
      <c r="W22" s="33"/>
      <c r="X22" s="414" t="str">
        <f>IFERROR(0.85*X20^2+0.15*X20,"")</f>
        <v/>
      </c>
      <c r="Y22" s="415"/>
      <c r="Z22" s="415"/>
      <c r="AA22" s="416"/>
      <c r="AC22" s="2"/>
      <c r="AE22" s="17"/>
      <c r="AL22" s="2"/>
      <c r="AM22" s="2"/>
      <c r="AN22" s="2"/>
    </row>
    <row r="23" spans="2:58" ht="18.75" customHeight="1" x14ac:dyDescent="0.25">
      <c r="B23" s="256" t="s">
        <v>50</v>
      </c>
      <c r="C23" s="256"/>
      <c r="D23" s="256"/>
      <c r="E23" s="256"/>
      <c r="F23" s="256"/>
      <c r="G23" s="256"/>
      <c r="H23" s="256"/>
      <c r="I23" s="256"/>
      <c r="J23" s="256"/>
      <c r="K23" s="256"/>
      <c r="L23" s="256"/>
      <c r="M23" s="256"/>
      <c r="N23" s="256"/>
      <c r="O23" s="256"/>
      <c r="P23" s="256"/>
      <c r="Q23" s="256"/>
      <c r="S23" s="400"/>
      <c r="T23" s="400"/>
      <c r="U23" s="400"/>
      <c r="V23" s="400"/>
      <c r="W23" s="33"/>
      <c r="X23" s="407">
        <f>S23</f>
        <v>0</v>
      </c>
      <c r="Y23" s="408"/>
      <c r="Z23" s="408"/>
      <c r="AA23" s="409"/>
      <c r="AC23" s="2"/>
      <c r="AL23" s="2"/>
      <c r="AM23" s="2"/>
      <c r="AN23" s="2"/>
    </row>
    <row r="24" spans="2:58" ht="18.75" customHeight="1" x14ac:dyDescent="0.25">
      <c r="B24" s="2"/>
      <c r="C24" s="2"/>
      <c r="D24" s="2"/>
      <c r="S24" s="32"/>
      <c r="T24" s="32"/>
      <c r="U24" s="32"/>
      <c r="V24" s="32"/>
      <c r="X24" s="2"/>
      <c r="Y24" s="2"/>
      <c r="AC24" s="2"/>
      <c r="AI24" s="2"/>
      <c r="AL24" s="2"/>
      <c r="AM24" s="2"/>
      <c r="AN24" s="2"/>
    </row>
    <row r="25" spans="2:58" ht="18.75" customHeight="1" x14ac:dyDescent="0.25">
      <c r="B25" s="256" t="s">
        <v>678</v>
      </c>
      <c r="C25" s="256"/>
      <c r="D25" s="256"/>
      <c r="E25" s="256"/>
      <c r="F25" s="256"/>
      <c r="G25" s="256"/>
      <c r="H25" s="256"/>
      <c r="I25" s="256"/>
      <c r="J25" s="256"/>
      <c r="K25" s="256"/>
      <c r="L25" s="256"/>
      <c r="M25" s="256"/>
      <c r="N25" s="256"/>
      <c r="O25" s="256"/>
      <c r="P25" s="256"/>
      <c r="Q25" s="256"/>
      <c r="S25" s="255"/>
      <c r="T25" s="255"/>
      <c r="U25" s="255"/>
      <c r="V25" s="255"/>
      <c r="X25" s="255"/>
      <c r="Y25" s="255"/>
      <c r="Z25" s="255"/>
      <c r="AA25" s="255"/>
      <c r="AC25" s="2"/>
    </row>
    <row r="26" spans="2:58" ht="18.75" customHeight="1" x14ac:dyDescent="0.25">
      <c r="B26" s="256" t="s">
        <v>677</v>
      </c>
      <c r="C26" s="256"/>
      <c r="D26" s="256"/>
      <c r="E26" s="256"/>
      <c r="F26" s="256"/>
      <c r="G26" s="256"/>
      <c r="H26" s="256"/>
      <c r="I26" s="256"/>
      <c r="J26" s="256"/>
      <c r="K26" s="256"/>
      <c r="L26" s="256"/>
      <c r="M26" s="256"/>
      <c r="N26" s="256"/>
      <c r="O26" s="256"/>
      <c r="P26" s="256"/>
      <c r="Q26" s="256"/>
      <c r="S26" s="255"/>
      <c r="T26" s="255"/>
      <c r="U26" s="255"/>
      <c r="V26" s="255"/>
      <c r="X26" s="255"/>
      <c r="Y26" s="255"/>
      <c r="Z26" s="255"/>
      <c r="AA26" s="255"/>
      <c r="AC26" s="2"/>
    </row>
    <row r="27" spans="2:58" ht="18.75" customHeight="1" x14ac:dyDescent="0.25">
      <c r="B27" s="2"/>
      <c r="C27" s="2"/>
      <c r="S27" s="32"/>
      <c r="T27" s="32"/>
      <c r="U27" s="32"/>
      <c r="V27" s="32"/>
      <c r="X27" s="8"/>
      <c r="Y27" s="2"/>
      <c r="AC27" s="2"/>
    </row>
    <row r="28" spans="2:58" ht="18.75" customHeight="1" x14ac:dyDescent="0.25">
      <c r="B28" s="256" t="s">
        <v>51</v>
      </c>
      <c r="C28" s="256"/>
      <c r="D28" s="256"/>
      <c r="E28" s="256"/>
      <c r="F28" s="256"/>
      <c r="G28" s="256"/>
      <c r="H28" s="256"/>
      <c r="I28" s="256"/>
      <c r="J28" s="256"/>
      <c r="K28" s="256"/>
      <c r="L28" s="256"/>
      <c r="M28" s="256"/>
      <c r="N28" s="256"/>
      <c r="O28" s="256"/>
      <c r="P28" s="256"/>
      <c r="Q28" s="256"/>
      <c r="S28" s="410" t="s">
        <v>492</v>
      </c>
      <c r="T28" s="410"/>
      <c r="U28" s="410"/>
      <c r="V28" s="410"/>
      <c r="X28" s="410" t="s">
        <v>492</v>
      </c>
      <c r="Y28" s="410"/>
      <c r="Z28" s="410"/>
      <c r="AA28" s="410"/>
      <c r="AC28" s="2"/>
    </row>
    <row r="29" spans="2:58" ht="18.75" customHeight="1" x14ac:dyDescent="0.25">
      <c r="B29" s="2"/>
      <c r="C29" s="2"/>
      <c r="S29" s="32"/>
      <c r="T29" s="32"/>
      <c r="U29" s="32"/>
      <c r="V29" s="32"/>
      <c r="X29" s="2"/>
      <c r="Y29" s="2"/>
      <c r="AC29" s="2"/>
    </row>
    <row r="30" spans="2:58" ht="18.75" customHeight="1" x14ac:dyDescent="0.25">
      <c r="B30" s="256" t="s">
        <v>438</v>
      </c>
      <c r="C30" s="256"/>
      <c r="D30" s="256"/>
      <c r="E30" s="256"/>
      <c r="F30" s="256"/>
      <c r="G30" s="256"/>
      <c r="H30" s="256"/>
      <c r="I30" s="256"/>
      <c r="J30" s="256"/>
      <c r="K30" s="256"/>
      <c r="L30" s="256"/>
      <c r="M30" s="256"/>
      <c r="N30" s="256"/>
      <c r="O30" s="256"/>
      <c r="P30" s="256"/>
      <c r="Q30" s="256"/>
      <c r="S30" s="401" t="str">
        <f>IFERROR($S$26*($S$18/$S$17)^2,"")</f>
        <v/>
      </c>
      <c r="T30" s="402"/>
      <c r="U30" s="402"/>
      <c r="V30" s="403"/>
      <c r="X30" s="420" t="str">
        <f>IFERROR($X$26*($X$18/X17)^2,"")</f>
        <v/>
      </c>
      <c r="Y30" s="421"/>
      <c r="Z30" s="421"/>
      <c r="AA30" s="422"/>
      <c r="AC30" s="2"/>
    </row>
    <row r="31" spans="2:58" ht="18.75" customHeight="1" x14ac:dyDescent="0.25">
      <c r="B31" s="256" t="s">
        <v>439</v>
      </c>
      <c r="C31" s="256"/>
      <c r="D31" s="256"/>
      <c r="E31" s="256"/>
      <c r="F31" s="256"/>
      <c r="G31" s="256"/>
      <c r="H31" s="256"/>
      <c r="I31" s="256"/>
      <c r="J31" s="256"/>
      <c r="K31" s="256"/>
      <c r="L31" s="256"/>
      <c r="M31" s="256"/>
      <c r="N31" s="256"/>
      <c r="O31" s="256"/>
      <c r="P31" s="256"/>
      <c r="Q31" s="256"/>
      <c r="S31" s="404">
        <f>IFERROR($S$25*$S$23,"")</f>
        <v>0</v>
      </c>
      <c r="T31" s="405"/>
      <c r="U31" s="405"/>
      <c r="V31" s="406"/>
      <c r="X31" s="423">
        <f>IFERROR($X$25*$X$23,"")</f>
        <v>0</v>
      </c>
      <c r="Y31" s="424"/>
      <c r="Z31" s="424"/>
      <c r="AA31" s="425"/>
      <c r="AC31" s="2"/>
    </row>
    <row r="32" spans="2:58" ht="18.75" customHeight="1" x14ac:dyDescent="0.25">
      <c r="B32" s="256" t="s">
        <v>440</v>
      </c>
      <c r="C32" s="256"/>
      <c r="D32" s="256"/>
      <c r="E32" s="256"/>
      <c r="F32" s="256"/>
      <c r="G32" s="256"/>
      <c r="H32" s="256"/>
      <c r="I32" s="256"/>
      <c r="J32" s="256"/>
      <c r="K32" s="256"/>
      <c r="L32" s="256"/>
      <c r="M32" s="256"/>
      <c r="N32" s="256"/>
      <c r="O32" s="256"/>
      <c r="P32" s="256"/>
      <c r="Q32" s="256"/>
      <c r="S32" s="404" t="str">
        <f>IFERROR($S$30*$S$22*$S$23,"")</f>
        <v/>
      </c>
      <c r="T32" s="405"/>
      <c r="U32" s="405"/>
      <c r="V32" s="406"/>
      <c r="X32" s="423" t="str">
        <f>IFERROR($X$30*$X$22*$X$23,"")</f>
        <v/>
      </c>
      <c r="Y32" s="424"/>
      <c r="Z32" s="424"/>
      <c r="AA32" s="425"/>
      <c r="AC32" s="2"/>
    </row>
    <row r="33" spans="2:38" ht="18.75" customHeight="1" x14ac:dyDescent="0.25">
      <c r="B33" s="256" t="s">
        <v>699</v>
      </c>
      <c r="C33" s="256"/>
      <c r="D33" s="256"/>
      <c r="E33" s="256"/>
      <c r="F33" s="256"/>
      <c r="G33" s="256"/>
      <c r="H33" s="256"/>
      <c r="I33" s="256"/>
      <c r="J33" s="256"/>
      <c r="K33" s="256"/>
      <c r="L33" s="256"/>
      <c r="M33" s="256"/>
      <c r="N33" s="256"/>
      <c r="O33" s="256"/>
      <c r="P33" s="256"/>
      <c r="Q33" s="256"/>
      <c r="S33" s="404">
        <f>IFERROR(SUM(S31:V32),"")</f>
        <v>0</v>
      </c>
      <c r="T33" s="405"/>
      <c r="U33" s="405"/>
      <c r="V33" s="406"/>
      <c r="X33" s="423">
        <f>SUM(X31:AA32)</f>
        <v>0</v>
      </c>
      <c r="Y33" s="424"/>
      <c r="Z33" s="424"/>
      <c r="AA33" s="425"/>
    </row>
    <row r="34" spans="2:38" s="119" customFormat="1" ht="18.75" customHeight="1" thickBot="1" x14ac:dyDescent="0.3"/>
    <row r="35" spans="2:38" ht="18.75" customHeight="1" thickBot="1" x14ac:dyDescent="0.3">
      <c r="B35" s="280" t="s">
        <v>700</v>
      </c>
      <c r="C35" s="281"/>
      <c r="D35" s="281"/>
      <c r="E35" s="281"/>
      <c r="F35" s="281"/>
      <c r="G35" s="281"/>
      <c r="H35" s="281"/>
      <c r="I35" s="281"/>
      <c r="J35" s="281"/>
      <c r="K35" s="281"/>
      <c r="L35" s="281"/>
      <c r="M35" s="281"/>
      <c r="N35" s="281"/>
      <c r="O35" s="281"/>
      <c r="P35" s="281"/>
      <c r="Q35" s="282"/>
      <c r="R35" s="119"/>
      <c r="S35" s="283">
        <f>IFERROR(($S$33-$X$33),"")</f>
        <v>0</v>
      </c>
      <c r="T35" s="284"/>
      <c r="U35" s="284"/>
      <c r="V35" s="284"/>
      <c r="W35" s="284"/>
      <c r="X35" s="284"/>
      <c r="Y35" s="284"/>
      <c r="Z35" s="284"/>
      <c r="AA35" s="285"/>
    </row>
    <row r="36" spans="2:38" ht="18.75" customHeight="1" thickBot="1" x14ac:dyDescent="0.3">
      <c r="B36" s="280" t="s">
        <v>485</v>
      </c>
      <c r="C36" s="281"/>
      <c r="D36" s="281"/>
      <c r="E36" s="281"/>
      <c r="F36" s="281"/>
      <c r="G36" s="281"/>
      <c r="H36" s="281"/>
      <c r="I36" s="281"/>
      <c r="J36" s="281"/>
      <c r="K36" s="281"/>
      <c r="L36" s="281"/>
      <c r="M36" s="281"/>
      <c r="N36" s="281"/>
      <c r="O36" s="281"/>
      <c r="P36" s="281"/>
      <c r="Q36" s="282"/>
      <c r="S36" s="283">
        <f>IFERROR(($S$33-$X$33)*$X$16,"")</f>
        <v>0</v>
      </c>
      <c r="T36" s="284"/>
      <c r="U36" s="284"/>
      <c r="V36" s="284"/>
      <c r="W36" s="284"/>
      <c r="X36" s="284"/>
      <c r="Y36" s="284"/>
      <c r="Z36" s="284"/>
      <c r="AA36" s="285"/>
      <c r="AC36" s="431" t="s">
        <v>487</v>
      </c>
      <c r="AD36" s="432"/>
      <c r="AE36" s="432"/>
      <c r="AF36" s="433"/>
      <c r="AL36" s="5"/>
    </row>
    <row r="37" spans="2:38" ht="18.75" customHeight="1" thickBot="1" x14ac:dyDescent="0.3">
      <c r="B37" s="280" t="s">
        <v>486</v>
      </c>
      <c r="C37" s="281"/>
      <c r="D37" s="281"/>
      <c r="E37" s="281"/>
      <c r="F37" s="281"/>
      <c r="G37" s="281"/>
      <c r="H37" s="281"/>
      <c r="I37" s="281"/>
      <c r="J37" s="281"/>
      <c r="K37" s="281"/>
      <c r="L37" s="281"/>
      <c r="M37" s="281"/>
      <c r="N37" s="281"/>
      <c r="O37" s="281"/>
      <c r="P37" s="281"/>
      <c r="Q37" s="282"/>
      <c r="S37" s="283">
        <f>IFERROR(S36*AC37,"")</f>
        <v>0</v>
      </c>
      <c r="T37" s="284"/>
      <c r="U37" s="284"/>
      <c r="V37" s="284"/>
      <c r="W37" s="284"/>
      <c r="X37" s="284"/>
      <c r="Y37" s="284"/>
      <c r="Z37" s="284"/>
      <c r="AA37" s="285"/>
      <c r="AC37" s="434">
        <v>1.09056</v>
      </c>
      <c r="AD37" s="435"/>
      <c r="AE37" s="435"/>
      <c r="AF37" s="436"/>
      <c r="AL37" s="5"/>
    </row>
    <row r="38" spans="2:38" s="119" customFormat="1" ht="18.75" customHeight="1" thickBot="1" x14ac:dyDescent="0.3"/>
    <row r="39" spans="2:38" ht="18.75" customHeight="1" thickBot="1" x14ac:dyDescent="0.3">
      <c r="B39" s="287" t="s">
        <v>701</v>
      </c>
      <c r="C39" s="288"/>
      <c r="D39" s="288"/>
      <c r="E39" s="288"/>
      <c r="F39" s="288"/>
      <c r="G39" s="288"/>
      <c r="H39" s="288"/>
      <c r="I39" s="288"/>
      <c r="J39" s="288"/>
      <c r="K39" s="288"/>
      <c r="L39" s="288"/>
      <c r="M39" s="288"/>
      <c r="N39" s="288"/>
      <c r="O39" s="288"/>
      <c r="P39" s="288"/>
      <c r="Q39" s="289"/>
      <c r="R39" s="119"/>
      <c r="S39" s="252"/>
      <c r="T39" s="253"/>
      <c r="U39" s="253"/>
      <c r="V39" s="253"/>
      <c r="W39" s="253"/>
      <c r="X39" s="253"/>
      <c r="Y39" s="253"/>
      <c r="Z39" s="253"/>
      <c r="AA39" s="254"/>
    </row>
    <row r="40" spans="2:38" ht="18.75" customHeight="1" thickBot="1" x14ac:dyDescent="0.3">
      <c r="B40" s="287" t="s">
        <v>539</v>
      </c>
      <c r="C40" s="288"/>
      <c r="D40" s="288"/>
      <c r="E40" s="288"/>
      <c r="F40" s="288"/>
      <c r="G40" s="288"/>
      <c r="H40" s="288"/>
      <c r="I40" s="288"/>
      <c r="J40" s="288"/>
      <c r="K40" s="288"/>
      <c r="L40" s="288"/>
      <c r="M40" s="288"/>
      <c r="N40" s="288"/>
      <c r="O40" s="288"/>
      <c r="P40" s="288"/>
      <c r="Q40" s="289"/>
      <c r="S40" s="437">
        <f>$S$39*$X$16</f>
        <v>0</v>
      </c>
      <c r="T40" s="438"/>
      <c r="U40" s="438"/>
      <c r="V40" s="438"/>
      <c r="W40" s="438"/>
      <c r="X40" s="438"/>
      <c r="Y40" s="438"/>
      <c r="Z40" s="438"/>
      <c r="AA40" s="439"/>
    </row>
    <row r="42" spans="2:38" ht="18.75" customHeight="1" x14ac:dyDescent="0.25">
      <c r="B42" s="5" t="s">
        <v>515</v>
      </c>
    </row>
    <row r="43" spans="2:38" ht="18.75" customHeight="1" x14ac:dyDescent="0.25">
      <c r="B43" t="s">
        <v>493</v>
      </c>
      <c r="C43" s="5"/>
      <c r="D43" s="2"/>
    </row>
    <row r="44" spans="2:38" ht="18.75" customHeight="1" thickBot="1" x14ac:dyDescent="0.3">
      <c r="B44" s="69" t="s">
        <v>479</v>
      </c>
      <c r="C44" s="70"/>
      <c r="D44" s="70"/>
      <c r="E44" s="70"/>
      <c r="F44" s="70"/>
      <c r="G44" s="70"/>
      <c r="H44" s="70"/>
      <c r="I44" s="70"/>
      <c r="J44" s="70"/>
      <c r="K44" s="70"/>
      <c r="L44" s="70"/>
      <c r="M44" s="70"/>
      <c r="N44" s="74"/>
      <c r="O44" s="70"/>
      <c r="P44" s="70"/>
      <c r="Q44" s="70"/>
      <c r="R44" s="70"/>
      <c r="S44" s="248" t="s">
        <v>476</v>
      </c>
      <c r="T44" s="248"/>
      <c r="U44" s="248"/>
      <c r="V44" s="249"/>
    </row>
    <row r="45" spans="2:38" ht="18.75" customHeight="1" x14ac:dyDescent="0.25">
      <c r="B45" s="71" t="s">
        <v>475</v>
      </c>
      <c r="C45" s="72"/>
      <c r="D45" s="72"/>
      <c r="E45" s="72"/>
      <c r="F45" s="72"/>
      <c r="G45" s="72"/>
      <c r="H45" s="72"/>
      <c r="I45" s="72"/>
      <c r="J45" s="72"/>
      <c r="K45" s="72"/>
      <c r="L45" s="72"/>
      <c r="M45" s="72"/>
      <c r="N45" s="72"/>
      <c r="O45" s="72"/>
      <c r="P45" s="72"/>
      <c r="Q45" s="72"/>
      <c r="R45" s="72"/>
      <c r="S45" s="250"/>
      <c r="T45" s="250"/>
      <c r="U45" s="250"/>
      <c r="V45" s="251"/>
    </row>
    <row r="46" spans="2:38" ht="18.75" customHeight="1" x14ac:dyDescent="0.25">
      <c r="B46" s="71" t="s">
        <v>477</v>
      </c>
      <c r="C46" s="72"/>
      <c r="D46" s="72"/>
      <c r="E46" s="72"/>
      <c r="F46" s="72"/>
      <c r="G46" s="72"/>
      <c r="H46" s="72"/>
      <c r="I46" s="72"/>
      <c r="J46" s="72"/>
      <c r="K46" s="72"/>
      <c r="L46" s="72"/>
      <c r="M46" s="72"/>
      <c r="N46" s="72"/>
      <c r="O46" s="72"/>
      <c r="P46" s="72"/>
      <c r="Q46" s="72"/>
      <c r="R46" s="72"/>
      <c r="S46" s="250"/>
      <c r="T46" s="250"/>
      <c r="U46" s="250"/>
      <c r="V46" s="251"/>
    </row>
    <row r="47" spans="2:38" ht="18.75" customHeight="1" thickBot="1" x14ac:dyDescent="0.3">
      <c r="B47" s="71" t="s">
        <v>473</v>
      </c>
      <c r="C47" s="72"/>
      <c r="D47" s="72"/>
      <c r="E47" s="72"/>
      <c r="F47" s="72"/>
      <c r="G47" s="72"/>
      <c r="H47" s="72"/>
      <c r="I47" s="72"/>
      <c r="J47" s="72"/>
      <c r="K47" s="72"/>
      <c r="L47" s="72"/>
      <c r="M47" s="72"/>
      <c r="N47" s="72"/>
      <c r="O47" s="72"/>
      <c r="P47" s="72"/>
      <c r="Q47" s="72"/>
      <c r="R47" s="72"/>
      <c r="S47" s="250"/>
      <c r="T47" s="250"/>
      <c r="U47" s="250"/>
      <c r="V47" s="251"/>
      <c r="X47" s="32"/>
    </row>
    <row r="48" spans="2:38" ht="18.75" customHeight="1" thickBot="1" x14ac:dyDescent="0.3">
      <c r="B48" s="73" t="s">
        <v>478</v>
      </c>
      <c r="C48" s="72"/>
      <c r="D48" s="72"/>
      <c r="E48" s="72"/>
      <c r="F48" s="72"/>
      <c r="G48" s="72"/>
      <c r="H48" s="72"/>
      <c r="I48" s="72"/>
      <c r="J48" s="72"/>
      <c r="K48" s="72"/>
      <c r="L48" s="72"/>
      <c r="M48" s="72"/>
      <c r="N48" s="72"/>
      <c r="O48" s="72"/>
      <c r="P48" s="72"/>
      <c r="Q48" s="72"/>
      <c r="R48" s="72"/>
      <c r="S48" s="250"/>
      <c r="T48" s="250"/>
      <c r="U48" s="250"/>
      <c r="V48" s="251"/>
      <c r="X48" s="63"/>
      <c r="AC48" s="63"/>
      <c r="AH48" s="63"/>
    </row>
    <row r="49" spans="1:27" ht="18.75" customHeight="1" x14ac:dyDescent="0.25">
      <c r="B49" s="71" t="s">
        <v>474</v>
      </c>
      <c r="C49" s="72"/>
      <c r="D49" s="72"/>
      <c r="E49" s="72"/>
      <c r="F49" s="72"/>
      <c r="G49" s="72"/>
      <c r="H49" s="72"/>
      <c r="I49" s="72"/>
      <c r="J49" s="72"/>
      <c r="K49" s="72"/>
      <c r="L49" s="72"/>
      <c r="M49" s="72"/>
      <c r="N49" s="72"/>
      <c r="O49" s="72"/>
      <c r="P49" s="72"/>
      <c r="Q49" s="72"/>
      <c r="R49" s="72"/>
      <c r="S49" s="250"/>
      <c r="T49" s="250"/>
      <c r="U49" s="250"/>
      <c r="V49" s="251"/>
    </row>
    <row r="50" spans="1:27" ht="18.75" customHeight="1" x14ac:dyDescent="0.25">
      <c r="B50" s="71" t="s">
        <v>488</v>
      </c>
      <c r="C50" s="72"/>
      <c r="D50" s="72"/>
      <c r="E50" s="72"/>
      <c r="F50" s="72"/>
      <c r="G50" s="72"/>
      <c r="H50" s="72"/>
      <c r="I50" s="72"/>
      <c r="J50" s="72"/>
      <c r="K50" s="72"/>
      <c r="L50" s="72"/>
      <c r="M50" s="72"/>
      <c r="N50" s="72"/>
      <c r="O50" s="72"/>
      <c r="P50" s="72"/>
      <c r="Q50" s="72"/>
      <c r="R50" s="72"/>
      <c r="S50" s="250"/>
      <c r="T50" s="250"/>
      <c r="U50" s="250"/>
      <c r="V50" s="251"/>
    </row>
    <row r="51" spans="1:27" ht="18.75" customHeight="1" x14ac:dyDescent="0.25">
      <c r="B51" s="73" t="s">
        <v>489</v>
      </c>
      <c r="C51" s="72"/>
      <c r="D51" s="72"/>
      <c r="E51" s="72"/>
      <c r="F51" s="72"/>
      <c r="G51" s="72"/>
      <c r="H51" s="72"/>
      <c r="I51" s="72"/>
      <c r="J51" s="72"/>
      <c r="K51" s="72"/>
      <c r="L51" s="72"/>
      <c r="M51" s="72"/>
      <c r="N51" s="72"/>
      <c r="O51" s="72"/>
      <c r="P51" s="72"/>
      <c r="Q51" s="72"/>
      <c r="R51" s="72"/>
      <c r="S51" s="250"/>
      <c r="T51" s="250"/>
      <c r="U51" s="250"/>
      <c r="V51" s="251"/>
    </row>
    <row r="52" spans="1:27" ht="18.75" customHeight="1" x14ac:dyDescent="0.25">
      <c r="B52" s="75" t="s">
        <v>490</v>
      </c>
      <c r="C52" s="62"/>
      <c r="D52" s="62"/>
      <c r="E52" s="62"/>
      <c r="F52" s="62"/>
      <c r="G52" s="62"/>
      <c r="H52" s="62"/>
      <c r="I52" s="62"/>
      <c r="J52" s="62"/>
      <c r="K52" s="62"/>
      <c r="L52" s="62"/>
      <c r="M52" s="62"/>
      <c r="N52" s="62"/>
      <c r="O52" s="62"/>
      <c r="P52" s="62"/>
      <c r="Q52" s="62"/>
      <c r="R52" s="62"/>
      <c r="S52" s="62"/>
      <c r="T52" s="62"/>
      <c r="U52" s="62"/>
      <c r="V52" s="76"/>
    </row>
    <row r="53" spans="1:27" ht="18.75" customHeight="1" thickBot="1" x14ac:dyDescent="0.3">
      <c r="B53" s="146" t="s">
        <v>689</v>
      </c>
    </row>
    <row r="54" spans="1:27" ht="18.75" customHeight="1" thickBot="1" x14ac:dyDescent="0.3">
      <c r="B54" s="287" t="s">
        <v>410</v>
      </c>
      <c r="C54" s="288"/>
      <c r="D54" s="288"/>
      <c r="E54" s="288"/>
      <c r="F54" s="288"/>
      <c r="G54" s="288"/>
      <c r="H54" s="288"/>
      <c r="I54" s="288"/>
      <c r="J54" s="288"/>
      <c r="K54" s="288"/>
      <c r="L54" s="288"/>
      <c r="M54" s="288"/>
      <c r="N54" s="288"/>
      <c r="O54" s="288"/>
      <c r="P54" s="288"/>
      <c r="Q54" s="289"/>
      <c r="S54" s="277" t="str">
        <f ca="1">IFERROR(IF(S40&lt;0,0,IF(S37*J12&lt;(0.7*$S$40),S37*J12,0.7*$S$40)),"")</f>
        <v/>
      </c>
      <c r="T54" s="278"/>
      <c r="U54" s="278"/>
      <c r="V54" s="278"/>
      <c r="W54" s="278"/>
      <c r="X54" s="278"/>
      <c r="Y54" s="278"/>
      <c r="Z54" s="278"/>
      <c r="AA54" s="279"/>
    </row>
    <row r="55" spans="1:27" ht="18.75" customHeight="1" thickBot="1" x14ac:dyDescent="0.3">
      <c r="B55" s="287" t="s">
        <v>411</v>
      </c>
      <c r="C55" s="288"/>
      <c r="D55" s="288"/>
      <c r="E55" s="288"/>
      <c r="F55" s="288"/>
      <c r="G55" s="288"/>
      <c r="H55" s="288"/>
      <c r="I55" s="288"/>
      <c r="J55" s="288"/>
      <c r="K55" s="288"/>
      <c r="L55" s="288"/>
      <c r="M55" s="288"/>
      <c r="N55" s="288"/>
      <c r="O55" s="288"/>
      <c r="P55" s="288"/>
      <c r="Q55" s="289"/>
      <c r="S55" s="277" t="str">
        <f ca="1">IFERROR(S54*Summary!$M$18,"")</f>
        <v/>
      </c>
      <c r="T55" s="278"/>
      <c r="U55" s="278"/>
      <c r="V55" s="278"/>
      <c r="W55" s="278"/>
      <c r="X55" s="278"/>
      <c r="Y55" s="278"/>
      <c r="Z55" s="278"/>
      <c r="AA55" s="279"/>
    </row>
    <row r="56" spans="1:27" ht="18.75" customHeight="1" thickBot="1" x14ac:dyDescent="0.3">
      <c r="B56" s="287" t="s">
        <v>412</v>
      </c>
      <c r="C56" s="288"/>
      <c r="D56" s="288"/>
      <c r="E56" s="288"/>
      <c r="F56" s="288"/>
      <c r="G56" s="288"/>
      <c r="H56" s="288"/>
      <c r="I56" s="288"/>
      <c r="J56" s="288"/>
      <c r="K56" s="288"/>
      <c r="L56" s="288"/>
      <c r="M56" s="288"/>
      <c r="N56" s="288"/>
      <c r="O56" s="288"/>
      <c r="P56" s="288"/>
      <c r="Q56" s="289"/>
      <c r="S56" s="277" t="str">
        <f ca="1">IFERROR(S54*Summary!$M$19,"")</f>
        <v/>
      </c>
      <c r="T56" s="278"/>
      <c r="U56" s="278"/>
      <c r="V56" s="278"/>
      <c r="W56" s="278"/>
      <c r="X56" s="278"/>
      <c r="Y56" s="278"/>
      <c r="Z56" s="278"/>
      <c r="AA56" s="279"/>
    </row>
    <row r="58" spans="1:27" ht="18.75" customHeight="1" x14ac:dyDescent="0.25">
      <c r="A58" s="68" t="s">
        <v>484</v>
      </c>
    </row>
  </sheetData>
  <sheetProtection password="BD7D" sheet="1" scenarios="1"/>
  <mergeCells count="85">
    <mergeCell ref="AC18:AL20"/>
    <mergeCell ref="B56:Q56"/>
    <mergeCell ref="S56:AA56"/>
    <mergeCell ref="B54:Q54"/>
    <mergeCell ref="S54:AA54"/>
    <mergeCell ref="AC36:AF36"/>
    <mergeCell ref="AC37:AF37"/>
    <mergeCell ref="B55:Q55"/>
    <mergeCell ref="S55:AA55"/>
    <mergeCell ref="S44:V51"/>
    <mergeCell ref="B36:Q36"/>
    <mergeCell ref="S36:AA36"/>
    <mergeCell ref="B37:Q37"/>
    <mergeCell ref="S37:AA37"/>
    <mergeCell ref="S40:AA40"/>
    <mergeCell ref="S32:V32"/>
    <mergeCell ref="X32:AA32"/>
    <mergeCell ref="B33:Q33"/>
    <mergeCell ref="S33:V33"/>
    <mergeCell ref="X33:AA33"/>
    <mergeCell ref="B40:Q40"/>
    <mergeCell ref="B32:Q32"/>
    <mergeCell ref="B35:Q35"/>
    <mergeCell ref="S35:AA35"/>
    <mergeCell ref="B39:Q39"/>
    <mergeCell ref="S39:AA39"/>
    <mergeCell ref="S30:V30"/>
    <mergeCell ref="X30:AA30"/>
    <mergeCell ref="B31:Q31"/>
    <mergeCell ref="S31:V31"/>
    <mergeCell ref="X31:AA31"/>
    <mergeCell ref="B30:Q30"/>
    <mergeCell ref="S26:V26"/>
    <mergeCell ref="X26:AA26"/>
    <mergeCell ref="B28:Q28"/>
    <mergeCell ref="S28:V28"/>
    <mergeCell ref="X28:AA28"/>
    <mergeCell ref="B26:Q26"/>
    <mergeCell ref="S23:V23"/>
    <mergeCell ref="X23:AA23"/>
    <mergeCell ref="B25:Q25"/>
    <mergeCell ref="S25:V25"/>
    <mergeCell ref="X25:AA25"/>
    <mergeCell ref="B23:Q23"/>
    <mergeCell ref="S20:V20"/>
    <mergeCell ref="X20:AA20"/>
    <mergeCell ref="B20:Q20"/>
    <mergeCell ref="S22:V22"/>
    <mergeCell ref="X22:AA22"/>
    <mergeCell ref="B22:Q22"/>
    <mergeCell ref="S18:V18"/>
    <mergeCell ref="S14:V15"/>
    <mergeCell ref="B18:Q18"/>
    <mergeCell ref="X18:AA18"/>
    <mergeCell ref="B19:Q19"/>
    <mergeCell ref="S19:V19"/>
    <mergeCell ref="X19:AA19"/>
    <mergeCell ref="X14:AA15"/>
    <mergeCell ref="B17:Q17"/>
    <mergeCell ref="S17:V17"/>
    <mergeCell ref="X17:AA17"/>
    <mergeCell ref="B16:Q16"/>
    <mergeCell ref="S16:V16"/>
    <mergeCell ref="X16:AA16"/>
    <mergeCell ref="B5:G5"/>
    <mergeCell ref="AC2:AI2"/>
    <mergeCell ref="AC3:AI3"/>
    <mergeCell ref="AC4:AI4"/>
    <mergeCell ref="B4:G4"/>
    <mergeCell ref="H4:AA4"/>
    <mergeCell ref="H5:AA5"/>
    <mergeCell ref="B6:G6"/>
    <mergeCell ref="B7:G7"/>
    <mergeCell ref="B12:I12"/>
    <mergeCell ref="B11:G11"/>
    <mergeCell ref="B8:G8"/>
    <mergeCell ref="B9:G9"/>
    <mergeCell ref="B10:G10"/>
    <mergeCell ref="H6:AA6"/>
    <mergeCell ref="H7:AA7"/>
    <mergeCell ref="H8:AA8"/>
    <mergeCell ref="H9:AA9"/>
    <mergeCell ref="H10:AA10"/>
    <mergeCell ref="H11:AA11"/>
    <mergeCell ref="J12:AA12"/>
  </mergeCells>
  <conditionalFormatting sqref="S17:V17 S39">
    <cfRule type="expression" dxfId="88" priority="915">
      <formula>IF(OR(S17="--Select--",ISBLANK(S17)),TRUE,FALSE)</formula>
    </cfRule>
  </conditionalFormatting>
  <conditionalFormatting sqref="S18:V19">
    <cfRule type="expression" dxfId="87" priority="835">
      <formula>IF(OR(S18="--Select--",ISBLANK(S18)),TRUE,FALSE)</formula>
    </cfRule>
  </conditionalFormatting>
  <conditionalFormatting sqref="X17:AA19">
    <cfRule type="expression" dxfId="86" priority="340">
      <formula>IF(OR(X17="--Select--",ISBLANK(X17)),TRUE,FALSE)</formula>
    </cfRule>
  </conditionalFormatting>
  <conditionalFormatting sqref="S23:V23">
    <cfRule type="expression" dxfId="85" priority="257">
      <formula>IF(OR(S23="--Select--",ISBLANK(S23)),TRUE,FALSE)</formula>
    </cfRule>
  </conditionalFormatting>
  <conditionalFormatting sqref="X23:AA23">
    <cfRule type="expression" dxfId="84" priority="31">
      <formula>IF(OR(X23="--Select--",ISBLANK(X23)),TRUE,FALSE)</formula>
    </cfRule>
  </conditionalFormatting>
  <conditionalFormatting sqref="S25:V26">
    <cfRule type="expression" dxfId="83" priority="30">
      <formula>IF(OR(S25="--Select--",ISBLANK(S25)),TRUE,FALSE)</formula>
    </cfRule>
  </conditionalFormatting>
  <conditionalFormatting sqref="X25:AA26">
    <cfRule type="expression" dxfId="82" priority="29">
      <formula>IF(OR(X25="--Select--",ISBLANK(X25)),TRUE,FALSE)</formula>
    </cfRule>
  </conditionalFormatting>
  <conditionalFormatting sqref="S28:V28">
    <cfRule type="expression" dxfId="81" priority="28">
      <formula>IF(OR(S28="--Select--",ISBLANK(S28)),TRUE,FALSE)</formula>
    </cfRule>
  </conditionalFormatting>
  <conditionalFormatting sqref="J12">
    <cfRule type="expression" dxfId="80" priority="27">
      <formula>IF(OR(J12="--Select--",ISBLANK(J12)),TRUE,FALSE)</formula>
    </cfRule>
  </conditionalFormatting>
  <conditionalFormatting sqref="H10">
    <cfRule type="expression" dxfId="79" priority="26">
      <formula>IF(OR(H10="--Select--",ISBLANK(H10)),TRUE,FALSE)</formula>
    </cfRule>
  </conditionalFormatting>
  <conditionalFormatting sqref="X28:AA28">
    <cfRule type="expression" dxfId="78" priority="24">
      <formula>IF(OR(X28="--Select--",ISBLANK(X28)),TRUE,FALSE)</formula>
    </cfRule>
  </conditionalFormatting>
  <conditionalFormatting sqref="H9">
    <cfRule type="expression" dxfId="77" priority="19">
      <formula>IF(OR(H9="--Select--",ISBLANK(H9)),TRUE,FALSE)</formula>
    </cfRule>
  </conditionalFormatting>
  <conditionalFormatting sqref="H6:H8">
    <cfRule type="expression" dxfId="76" priority="5">
      <formula>IF(OR(H6="--Select--",ISBLANK(H6)),TRUE,FALSE)</formula>
    </cfRule>
  </conditionalFormatting>
  <conditionalFormatting sqref="H4">
    <cfRule type="expression" dxfId="75" priority="4">
      <formula>IF(OR(H4="--Select--",ISBLANK(H4)),TRUE,FALSE)</formula>
    </cfRule>
  </conditionalFormatting>
  <conditionalFormatting sqref="H5">
    <cfRule type="expression" dxfId="74" priority="3">
      <formula>IF(OR(H5="--Select--",ISBLANK(H5)),TRUE,FALSE)</formula>
    </cfRule>
  </conditionalFormatting>
  <pageMargins left="0.7" right="0.7" top="0.75" bottom="0.75" header="0.3" footer="0.3"/>
  <pageSetup orientation="portrait" r:id="rId1"/>
  <ignoredErrors>
    <ignoredError sqref="X18:X19 X23" unlockedFormula="1"/>
  </ignoredErrors>
  <extLst>
    <ext xmlns:x14="http://schemas.microsoft.com/office/spreadsheetml/2009/9/main" uri="{78C0D931-6437-407d-A8EE-F0AAD7539E65}">
      <x14:conditionalFormattings>
        <x14:conditionalFormatting xmlns:xm="http://schemas.microsoft.com/office/excel/2006/main">
          <x14:cfRule type="expression" priority="2" id="{1AB48A13-B6E2-4768-ABFB-DB90FC549971}">
            <xm:f>OR(Summary!$P$23="--Select--", Summary!$P$23&lt;2, Summary!$P$12="--Select--",Summary!$P$12="Re-Conductor Only")</xm:f>
            <x14:dxf>
              <fill>
                <patternFill>
                  <bgColor theme="1"/>
                </patternFill>
              </fill>
            </x14:dxf>
          </x14:cfRule>
          <xm:sqref>A1:XFD1048576</xm:sqref>
        </x14:conditionalFormatting>
      </x14:conditionalFormattings>
    </ext>
    <ext xmlns:x14="http://schemas.microsoft.com/office/spreadsheetml/2009/9/main" uri="{CCE6A557-97BC-4b89-ADB6-D9C93CAAB3DF}">
      <x14:dataValidations xmlns:xm="http://schemas.microsoft.com/office/excel/2006/main" count="2">
        <x14:dataValidation type="list" allowBlank="1" showInputMessage="1" showErrorMessage="1">
          <x14:formula1>
            <xm:f>Lists!$L$2:$L$4</xm:f>
          </x14:formula1>
          <xm:sqref>H10</xm:sqref>
        </x14:dataValidation>
        <x14:dataValidation type="list" allowBlank="1" showInputMessage="1" showErrorMessage="1">
          <x14:formula1>
            <xm:f>Lists!$J$2:$J$6</xm:f>
          </x14:formula1>
          <xm:sqref>H9</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Z58"/>
  <sheetViews>
    <sheetView showGridLines="0" zoomScaleNormal="100" workbookViewId="0">
      <selection activeCell="H4" sqref="H4:AA4"/>
    </sheetView>
  </sheetViews>
  <sheetFormatPr defaultColWidth="3.5703125" defaultRowHeight="18.75" customHeight="1" x14ac:dyDescent="0.25"/>
  <sheetData>
    <row r="1" spans="1:78" ht="18.75" customHeight="1" x14ac:dyDescent="0.3">
      <c r="A1" s="95"/>
      <c r="B1" s="94" t="s">
        <v>505</v>
      </c>
      <c r="C1" s="95"/>
      <c r="D1" s="95"/>
      <c r="E1" s="95"/>
      <c r="F1" s="95"/>
      <c r="G1" s="95"/>
      <c r="H1" s="95"/>
      <c r="I1" s="95"/>
      <c r="J1" s="95"/>
      <c r="K1" s="95"/>
      <c r="L1" s="95"/>
      <c r="M1" s="95"/>
      <c r="N1" s="95"/>
      <c r="O1" s="95"/>
      <c r="P1" s="95"/>
      <c r="Q1" s="95"/>
      <c r="R1" s="95"/>
      <c r="S1" s="95"/>
      <c r="T1" s="95"/>
      <c r="U1" s="95"/>
      <c r="V1" s="95"/>
      <c r="W1" s="95"/>
      <c r="X1" s="95"/>
      <c r="Y1" s="95"/>
      <c r="Z1" s="95"/>
      <c r="AA1" s="95"/>
      <c r="AB1" s="95"/>
      <c r="AC1" s="95"/>
      <c r="AD1" s="95"/>
      <c r="AE1" s="95"/>
      <c r="AF1" s="95"/>
      <c r="AG1" s="95"/>
      <c r="AH1" s="95"/>
      <c r="AI1" s="95"/>
      <c r="AJ1" s="95"/>
      <c r="AK1" s="95"/>
      <c r="AL1" s="95"/>
      <c r="AM1" s="95"/>
      <c r="AN1" s="95"/>
      <c r="AO1" s="95"/>
      <c r="AP1" s="95"/>
      <c r="AQ1" s="95"/>
      <c r="AR1" s="95"/>
      <c r="AS1" s="95"/>
      <c r="AT1" s="95"/>
      <c r="AU1" s="95"/>
      <c r="AV1" s="95"/>
      <c r="AW1" s="95"/>
      <c r="AX1" s="95"/>
      <c r="AY1" s="95"/>
      <c r="AZ1" s="95"/>
      <c r="BA1" s="95"/>
      <c r="BB1" s="95"/>
      <c r="BC1" s="95"/>
      <c r="BD1" s="95"/>
      <c r="BE1" s="95"/>
      <c r="BF1" s="95"/>
      <c r="BG1" s="95"/>
      <c r="BH1" s="95"/>
      <c r="BI1" s="95"/>
      <c r="BJ1" s="95"/>
      <c r="BK1" s="95"/>
      <c r="BL1" s="95"/>
      <c r="BM1" s="95"/>
      <c r="BN1" s="95"/>
      <c r="BO1" s="95"/>
      <c r="BP1" s="95"/>
      <c r="BQ1" s="95"/>
      <c r="BR1" s="95"/>
      <c r="BS1" s="95"/>
      <c r="BT1" s="95"/>
      <c r="BU1" s="95"/>
      <c r="BV1" s="95"/>
      <c r="BW1" s="95"/>
      <c r="BX1" s="95"/>
      <c r="BY1" s="95"/>
      <c r="BZ1" s="95"/>
    </row>
    <row r="2" spans="1:78" ht="18.75" customHeight="1" x14ac:dyDescent="0.25">
      <c r="D2" s="2"/>
      <c r="E2" s="2"/>
      <c r="F2" s="2"/>
      <c r="G2" s="2"/>
      <c r="H2" s="2"/>
      <c r="I2" s="2"/>
      <c r="AC2" s="302" t="s">
        <v>391</v>
      </c>
      <c r="AD2" s="302"/>
      <c r="AE2" s="302"/>
      <c r="AF2" s="302"/>
      <c r="AG2" s="302"/>
      <c r="AH2" s="302"/>
      <c r="AI2" s="302"/>
    </row>
    <row r="3" spans="1:78" ht="18.75" customHeight="1" x14ac:dyDescent="0.25">
      <c r="B3" s="2"/>
      <c r="C3" s="2"/>
      <c r="D3" s="2"/>
      <c r="E3" s="2"/>
      <c r="F3" s="2"/>
      <c r="G3" s="2"/>
      <c r="AC3" s="380" t="s">
        <v>392</v>
      </c>
      <c r="AD3" s="380"/>
      <c r="AE3" s="380"/>
      <c r="AF3" s="380"/>
      <c r="AG3" s="380"/>
      <c r="AH3" s="380"/>
      <c r="AI3" s="380"/>
    </row>
    <row r="4" spans="1:78" ht="18.75" customHeight="1" x14ac:dyDescent="0.25">
      <c r="B4" s="162" t="s">
        <v>455</v>
      </c>
      <c r="C4" s="162"/>
      <c r="D4" s="162"/>
      <c r="E4" s="162"/>
      <c r="F4" s="162"/>
      <c r="G4" s="162"/>
      <c r="H4" s="172"/>
      <c r="I4" s="172"/>
      <c r="J4" s="172"/>
      <c r="K4" s="172"/>
      <c r="L4" s="172"/>
      <c r="M4" s="172"/>
      <c r="N4" s="172"/>
      <c r="O4" s="172"/>
      <c r="P4" s="172"/>
      <c r="Q4" s="172"/>
      <c r="R4" s="172"/>
      <c r="S4" s="172"/>
      <c r="T4" s="172"/>
      <c r="U4" s="172"/>
      <c r="V4" s="172"/>
      <c r="W4" s="172"/>
      <c r="X4" s="172"/>
      <c r="Y4" s="172"/>
      <c r="Z4" s="172"/>
      <c r="AA4" s="172"/>
      <c r="AC4" s="381" t="s">
        <v>393</v>
      </c>
      <c r="AD4" s="381"/>
      <c r="AE4" s="381"/>
      <c r="AF4" s="381"/>
      <c r="AG4" s="381"/>
      <c r="AH4" s="381"/>
      <c r="AI4" s="381"/>
    </row>
    <row r="5" spans="1:78" ht="18.75" customHeight="1" x14ac:dyDescent="0.25">
      <c r="B5" s="162" t="s">
        <v>67</v>
      </c>
      <c r="C5" s="162"/>
      <c r="D5" s="162"/>
      <c r="E5" s="162"/>
      <c r="F5" s="162"/>
      <c r="G5" s="162"/>
      <c r="H5" s="175"/>
      <c r="I5" s="175"/>
      <c r="J5" s="175"/>
      <c r="K5" s="175"/>
      <c r="L5" s="175"/>
      <c r="M5" s="175"/>
      <c r="N5" s="175"/>
      <c r="O5" s="175"/>
      <c r="P5" s="175"/>
      <c r="Q5" s="175"/>
      <c r="R5" s="175"/>
      <c r="S5" s="175"/>
      <c r="T5" s="175"/>
      <c r="U5" s="175"/>
      <c r="V5" s="175"/>
      <c r="W5" s="175"/>
      <c r="X5" s="175"/>
      <c r="Y5" s="175"/>
      <c r="Z5" s="175"/>
      <c r="AA5" s="175"/>
    </row>
    <row r="6" spans="1:78" ht="18.75" customHeight="1" x14ac:dyDescent="0.25">
      <c r="B6" s="162" t="s">
        <v>468</v>
      </c>
      <c r="C6" s="162"/>
      <c r="D6" s="162"/>
      <c r="E6" s="162"/>
      <c r="F6" s="162"/>
      <c r="G6" s="162"/>
      <c r="H6" s="175"/>
      <c r="I6" s="175"/>
      <c r="J6" s="175"/>
      <c r="K6" s="175"/>
      <c r="L6" s="175"/>
      <c r="M6" s="175"/>
      <c r="N6" s="175"/>
      <c r="O6" s="175"/>
      <c r="P6" s="175"/>
      <c r="Q6" s="175"/>
      <c r="R6" s="175"/>
      <c r="S6" s="175"/>
      <c r="T6" s="175"/>
      <c r="U6" s="175"/>
      <c r="V6" s="175"/>
      <c r="W6" s="175"/>
      <c r="X6" s="175"/>
      <c r="Y6" s="175"/>
      <c r="Z6" s="175"/>
      <c r="AA6" s="175"/>
      <c r="AL6" s="2"/>
    </row>
    <row r="7" spans="1:78" ht="18.75" customHeight="1" x14ac:dyDescent="0.25">
      <c r="B7" s="162" t="s">
        <v>12</v>
      </c>
      <c r="C7" s="162"/>
      <c r="D7" s="162"/>
      <c r="E7" s="162"/>
      <c r="F7" s="162"/>
      <c r="G7" s="162"/>
      <c r="H7" s="175"/>
      <c r="I7" s="175"/>
      <c r="J7" s="175"/>
      <c r="K7" s="175"/>
      <c r="L7" s="175"/>
      <c r="M7" s="175"/>
      <c r="N7" s="175"/>
      <c r="O7" s="175"/>
      <c r="P7" s="175"/>
      <c r="Q7" s="175"/>
      <c r="R7" s="175"/>
      <c r="S7" s="175"/>
      <c r="T7" s="175"/>
      <c r="U7" s="175"/>
      <c r="V7" s="175"/>
      <c r="W7" s="175"/>
      <c r="X7" s="175"/>
      <c r="Y7" s="175"/>
      <c r="Z7" s="175"/>
      <c r="AA7" s="175"/>
      <c r="AF7" s="8"/>
      <c r="AG7" s="8"/>
      <c r="AH7" s="8"/>
      <c r="AI7" s="2"/>
      <c r="AJ7" s="2"/>
      <c r="AK7" s="2"/>
      <c r="AL7" s="2"/>
    </row>
    <row r="8" spans="1:78" ht="18.75" customHeight="1" x14ac:dyDescent="0.25">
      <c r="B8" s="162" t="s">
        <v>13</v>
      </c>
      <c r="C8" s="162"/>
      <c r="D8" s="162"/>
      <c r="E8" s="162"/>
      <c r="F8" s="162"/>
      <c r="G8" s="162"/>
      <c r="H8" s="175"/>
      <c r="I8" s="175"/>
      <c r="J8" s="175"/>
      <c r="K8" s="175"/>
      <c r="L8" s="175"/>
      <c r="M8" s="175"/>
      <c r="N8" s="175"/>
      <c r="O8" s="175"/>
      <c r="P8" s="175"/>
      <c r="Q8" s="175"/>
      <c r="R8" s="175"/>
      <c r="S8" s="175"/>
      <c r="T8" s="175"/>
      <c r="U8" s="175"/>
      <c r="V8" s="175"/>
      <c r="W8" s="175"/>
      <c r="X8" s="175"/>
      <c r="Y8" s="175"/>
      <c r="Z8" s="175"/>
      <c r="AA8" s="175"/>
      <c r="AF8" s="8"/>
      <c r="AG8" s="8"/>
      <c r="AH8" s="8"/>
      <c r="AI8" s="2"/>
      <c r="AJ8" s="2"/>
      <c r="AK8" s="2"/>
      <c r="AL8" s="2"/>
    </row>
    <row r="9" spans="1:78" ht="18.75" customHeight="1" x14ac:dyDescent="0.25">
      <c r="B9" s="162" t="s">
        <v>48</v>
      </c>
      <c r="C9" s="162"/>
      <c r="D9" s="162"/>
      <c r="E9" s="162"/>
      <c r="F9" s="162"/>
      <c r="G9" s="162"/>
      <c r="H9" s="172" t="s">
        <v>3</v>
      </c>
      <c r="I9" s="172"/>
      <c r="J9" s="172"/>
      <c r="K9" s="172"/>
      <c r="L9" s="172"/>
      <c r="M9" s="172"/>
      <c r="N9" s="172"/>
      <c r="O9" s="172"/>
      <c r="P9" s="172"/>
      <c r="Q9" s="172"/>
      <c r="R9" s="172"/>
      <c r="S9" s="172"/>
      <c r="T9" s="172"/>
      <c r="U9" s="172"/>
      <c r="V9" s="172"/>
      <c r="W9" s="172"/>
      <c r="X9" s="172"/>
      <c r="Y9" s="172"/>
      <c r="Z9" s="172"/>
      <c r="AA9" s="172"/>
      <c r="AF9" s="3"/>
      <c r="AG9" s="4"/>
      <c r="AH9" s="3"/>
      <c r="AI9" s="3"/>
      <c r="AJ9" s="3"/>
      <c r="AK9" s="3"/>
      <c r="AL9" s="2"/>
    </row>
    <row r="10" spans="1:78" ht="18.75" customHeight="1" x14ac:dyDescent="0.25">
      <c r="B10" s="162" t="s">
        <v>425</v>
      </c>
      <c r="C10" s="162"/>
      <c r="D10" s="162"/>
      <c r="E10" s="162"/>
      <c r="F10" s="162"/>
      <c r="G10" s="162"/>
      <c r="H10" s="172" t="s">
        <v>3</v>
      </c>
      <c r="I10" s="172"/>
      <c r="J10" s="172"/>
      <c r="K10" s="172"/>
      <c r="L10" s="172"/>
      <c r="M10" s="172"/>
      <c r="N10" s="172"/>
      <c r="O10" s="172"/>
      <c r="P10" s="172"/>
      <c r="Q10" s="172"/>
      <c r="R10" s="172"/>
      <c r="S10" s="172"/>
      <c r="T10" s="172"/>
      <c r="U10" s="172"/>
      <c r="V10" s="172"/>
      <c r="W10" s="172"/>
      <c r="X10" s="172"/>
      <c r="Y10" s="172"/>
      <c r="Z10" s="172"/>
      <c r="AA10" s="172"/>
      <c r="AF10" s="3"/>
      <c r="AG10" s="4"/>
      <c r="AI10" s="2"/>
      <c r="AJ10" s="2"/>
      <c r="AK10" s="3"/>
      <c r="AL10" s="2"/>
    </row>
    <row r="11" spans="1:78" ht="18.75" customHeight="1" x14ac:dyDescent="0.25">
      <c r="B11" s="162" t="s">
        <v>14</v>
      </c>
      <c r="C11" s="162"/>
      <c r="D11" s="162"/>
      <c r="E11" s="162"/>
      <c r="F11" s="162"/>
      <c r="G11" s="162"/>
      <c r="H11" s="399" t="str">
        <f>IF(H10="New Construction","UUDTR95006",IF(H10="Retrofit","UUDTR85006",""))</f>
        <v/>
      </c>
      <c r="I11" s="399"/>
      <c r="J11" s="399"/>
      <c r="K11" s="399"/>
      <c r="L11" s="399"/>
      <c r="M11" s="399"/>
      <c r="N11" s="399"/>
      <c r="O11" s="399"/>
      <c r="P11" s="399"/>
      <c r="Q11" s="399"/>
      <c r="R11" s="399"/>
      <c r="S11" s="399"/>
      <c r="T11" s="399"/>
      <c r="U11" s="399"/>
      <c r="V11" s="399"/>
      <c r="W11" s="399"/>
      <c r="X11" s="399"/>
      <c r="Y11" s="399"/>
      <c r="Z11" s="399"/>
      <c r="AA11" s="399"/>
    </row>
    <row r="12" spans="1:78" ht="18.75" customHeight="1" x14ac:dyDescent="0.25">
      <c r="B12" s="162" t="s">
        <v>480</v>
      </c>
      <c r="C12" s="162"/>
      <c r="D12" s="162"/>
      <c r="E12" s="162"/>
      <c r="F12" s="162"/>
      <c r="G12" s="162"/>
      <c r="H12" s="162"/>
      <c r="I12" s="162"/>
      <c r="J12" s="328" t="str">
        <f ca="1">IF(OR(ISBLANK($H$5),H10="--Select--"),"",OFFSET(Lists!$AI$1,MATCH(H11,Lists!$AA$2:$AA$4,FALSE),MATCH($H$5,Lists!$AJ$1:$BA$1,1)))</f>
        <v/>
      </c>
      <c r="K12" s="328"/>
      <c r="L12" s="328"/>
      <c r="M12" s="328"/>
      <c r="N12" s="328"/>
      <c r="O12" s="328"/>
      <c r="P12" s="328"/>
      <c r="Q12" s="328"/>
      <c r="R12" s="328"/>
      <c r="S12" s="328"/>
      <c r="T12" s="328"/>
      <c r="U12" s="328"/>
      <c r="V12" s="328"/>
      <c r="W12" s="328"/>
      <c r="X12" s="328"/>
      <c r="Y12" s="328"/>
      <c r="Z12" s="328"/>
      <c r="AA12" s="328"/>
    </row>
    <row r="13" spans="1:78" ht="18.75" customHeight="1" thickBot="1" x14ac:dyDescent="0.3">
      <c r="B13" s="2"/>
      <c r="C13" s="2"/>
      <c r="D13" s="2"/>
      <c r="E13" s="2"/>
      <c r="F13" s="2"/>
      <c r="G13" s="2"/>
      <c r="H13" s="2"/>
      <c r="I13" s="2"/>
    </row>
    <row r="14" spans="1:78" ht="18.75" customHeight="1" x14ac:dyDescent="0.25">
      <c r="E14" s="2"/>
      <c r="G14" s="2"/>
      <c r="H14" s="2"/>
      <c r="I14" s="2"/>
      <c r="S14" s="309" t="s">
        <v>22</v>
      </c>
      <c r="T14" s="310"/>
      <c r="U14" s="310"/>
      <c r="V14" s="311"/>
      <c r="X14" s="309" t="s">
        <v>30</v>
      </c>
      <c r="Y14" s="310"/>
      <c r="Z14" s="310"/>
      <c r="AA14" s="311"/>
    </row>
    <row r="15" spans="1:78" ht="18.75" customHeight="1" thickBot="1" x14ac:dyDescent="0.3">
      <c r="C15" s="2"/>
      <c r="D15" s="2"/>
      <c r="E15" s="2"/>
      <c r="F15" s="2"/>
      <c r="G15" s="2"/>
      <c r="H15" s="2"/>
      <c r="I15" s="2"/>
      <c r="J15" s="2"/>
      <c r="S15" s="312"/>
      <c r="T15" s="313"/>
      <c r="U15" s="313"/>
      <c r="V15" s="314"/>
      <c r="X15" s="312"/>
      <c r="Y15" s="313"/>
      <c r="Z15" s="313"/>
      <c r="AA15" s="314"/>
    </row>
    <row r="16" spans="1:78" s="119" customFormat="1" ht="18.75" customHeight="1" x14ac:dyDescent="0.3">
      <c r="B16" s="390" t="s">
        <v>690</v>
      </c>
      <c r="C16" s="391"/>
      <c r="D16" s="391"/>
      <c r="E16" s="391"/>
      <c r="F16" s="391"/>
      <c r="G16" s="391"/>
      <c r="H16" s="391"/>
      <c r="I16" s="391"/>
      <c r="J16" s="391"/>
      <c r="K16" s="391"/>
      <c r="L16" s="391"/>
      <c r="M16" s="391"/>
      <c r="N16" s="391"/>
      <c r="O16" s="391"/>
      <c r="P16" s="391"/>
      <c r="Q16" s="392"/>
      <c r="S16" s="393"/>
      <c r="T16" s="394"/>
      <c r="U16" s="394"/>
      <c r="V16" s="395"/>
      <c r="X16" s="396">
        <v>1</v>
      </c>
      <c r="Y16" s="397"/>
      <c r="Z16" s="397"/>
      <c r="AA16" s="398"/>
    </row>
    <row r="17" spans="2:58" ht="18.75" customHeight="1" x14ac:dyDescent="0.25">
      <c r="B17" s="256" t="s">
        <v>676</v>
      </c>
      <c r="C17" s="256"/>
      <c r="D17" s="256"/>
      <c r="E17" s="256"/>
      <c r="F17" s="256"/>
      <c r="G17" s="256"/>
      <c r="H17" s="256"/>
      <c r="I17" s="256"/>
      <c r="J17" s="256"/>
      <c r="K17" s="256"/>
      <c r="L17" s="256"/>
      <c r="M17" s="256"/>
      <c r="N17" s="256"/>
      <c r="O17" s="256"/>
      <c r="P17" s="256"/>
      <c r="Q17" s="256"/>
      <c r="S17" s="400"/>
      <c r="T17" s="400"/>
      <c r="U17" s="400"/>
      <c r="V17" s="400"/>
      <c r="W17" s="33"/>
      <c r="X17" s="400"/>
      <c r="Y17" s="400"/>
      <c r="Z17" s="400"/>
      <c r="AA17" s="400"/>
      <c r="AC17" s="2"/>
      <c r="AL17" s="2"/>
      <c r="AM17" s="2"/>
      <c r="AN17" s="2"/>
    </row>
    <row r="18" spans="2:58" ht="18.75" customHeight="1" x14ac:dyDescent="0.25">
      <c r="B18" s="256" t="s">
        <v>674</v>
      </c>
      <c r="C18" s="256"/>
      <c r="D18" s="256"/>
      <c r="E18" s="256"/>
      <c r="F18" s="256"/>
      <c r="G18" s="256"/>
      <c r="H18" s="256"/>
      <c r="I18" s="256"/>
      <c r="J18" s="256"/>
      <c r="K18" s="256"/>
      <c r="L18" s="256"/>
      <c r="M18" s="256"/>
      <c r="N18" s="256"/>
      <c r="O18" s="256"/>
      <c r="P18" s="256"/>
      <c r="Q18" s="256"/>
      <c r="S18" s="400"/>
      <c r="T18" s="400"/>
      <c r="U18" s="400"/>
      <c r="V18" s="400"/>
      <c r="W18" s="33"/>
      <c r="X18" s="407">
        <f>S18</f>
        <v>0</v>
      </c>
      <c r="Y18" s="408"/>
      <c r="Z18" s="408"/>
      <c r="AA18" s="409"/>
      <c r="AC18" s="343" t="s">
        <v>670</v>
      </c>
      <c r="AD18" s="344"/>
      <c r="AE18" s="344"/>
      <c r="AF18" s="344"/>
      <c r="AG18" s="344"/>
      <c r="AH18" s="344"/>
      <c r="AI18" s="344"/>
      <c r="AJ18" s="344"/>
      <c r="AK18" s="344"/>
      <c r="AL18" s="345"/>
      <c r="AM18" s="2"/>
      <c r="AN18" s="2"/>
    </row>
    <row r="19" spans="2:58" ht="18.75" customHeight="1" x14ac:dyDescent="0.25">
      <c r="B19" s="256" t="s">
        <v>675</v>
      </c>
      <c r="C19" s="256"/>
      <c r="D19" s="256"/>
      <c r="E19" s="256"/>
      <c r="F19" s="256"/>
      <c r="G19" s="256"/>
      <c r="H19" s="256"/>
      <c r="I19" s="256"/>
      <c r="J19" s="256"/>
      <c r="K19" s="256"/>
      <c r="L19" s="256"/>
      <c r="M19" s="256"/>
      <c r="N19" s="256"/>
      <c r="O19" s="256"/>
      <c r="P19" s="256"/>
      <c r="Q19" s="256"/>
      <c r="S19" s="400"/>
      <c r="T19" s="400"/>
      <c r="U19" s="400"/>
      <c r="V19" s="400"/>
      <c r="W19" s="33"/>
      <c r="X19" s="407">
        <f>S19</f>
        <v>0</v>
      </c>
      <c r="Y19" s="408"/>
      <c r="Z19" s="408"/>
      <c r="AA19" s="409"/>
      <c r="AC19" s="346"/>
      <c r="AD19" s="347"/>
      <c r="AE19" s="347"/>
      <c r="AF19" s="347"/>
      <c r="AG19" s="347"/>
      <c r="AH19" s="347"/>
      <c r="AI19" s="347"/>
      <c r="AJ19" s="347"/>
      <c r="AK19" s="347"/>
      <c r="AL19" s="348"/>
      <c r="AM19" s="2"/>
      <c r="AN19" s="2"/>
    </row>
    <row r="20" spans="2:58" ht="18.75" customHeight="1" x14ac:dyDescent="0.25">
      <c r="B20" s="256" t="s">
        <v>49</v>
      </c>
      <c r="C20" s="256"/>
      <c r="D20" s="256"/>
      <c r="E20" s="256"/>
      <c r="F20" s="256"/>
      <c r="G20" s="256"/>
      <c r="H20" s="256"/>
      <c r="I20" s="256"/>
      <c r="J20" s="256"/>
      <c r="K20" s="256"/>
      <c r="L20" s="256"/>
      <c r="M20" s="256"/>
      <c r="N20" s="256"/>
      <c r="O20" s="256"/>
      <c r="P20" s="256"/>
      <c r="Q20" s="256"/>
      <c r="S20" s="417" t="str">
        <f>IFERROR($S$19/$S$18,"")</f>
        <v/>
      </c>
      <c r="T20" s="418"/>
      <c r="U20" s="418"/>
      <c r="V20" s="419"/>
      <c r="W20" s="33"/>
      <c r="X20" s="414" t="str">
        <f>IFERROR($X$19/$X$18,"")</f>
        <v/>
      </c>
      <c r="Y20" s="415"/>
      <c r="Z20" s="415"/>
      <c r="AA20" s="416"/>
      <c r="AC20" s="349"/>
      <c r="AD20" s="350"/>
      <c r="AE20" s="350"/>
      <c r="AF20" s="350"/>
      <c r="AG20" s="350"/>
      <c r="AH20" s="350"/>
      <c r="AI20" s="350"/>
      <c r="AJ20" s="350"/>
      <c r="AK20" s="350"/>
      <c r="AL20" s="351"/>
      <c r="AM20" s="66"/>
      <c r="AN20" s="66"/>
      <c r="AO20" s="66"/>
      <c r="AP20" s="66"/>
      <c r="AQ20" s="66"/>
      <c r="AR20" s="66"/>
      <c r="AS20" s="66"/>
      <c r="AT20" s="66"/>
      <c r="AU20" s="66"/>
      <c r="AV20" s="66"/>
      <c r="AW20" s="66"/>
      <c r="AX20" s="66"/>
      <c r="AY20" s="66"/>
      <c r="AZ20" s="66"/>
      <c r="BA20" s="66"/>
      <c r="BB20" s="66"/>
      <c r="BC20" s="66"/>
      <c r="BD20" s="66"/>
      <c r="BE20" s="66"/>
      <c r="BF20" s="66"/>
    </row>
    <row r="21" spans="2:58" ht="18.75" customHeight="1" x14ac:dyDescent="0.25">
      <c r="B21" s="2"/>
      <c r="C21" s="2"/>
      <c r="D21" s="2"/>
      <c r="S21" s="32"/>
      <c r="T21" s="32"/>
      <c r="U21" s="32"/>
      <c r="V21" s="32"/>
      <c r="W21" s="32"/>
      <c r="X21" s="2"/>
      <c r="Y21" s="2"/>
      <c r="AC21" s="2"/>
      <c r="AE21" s="17"/>
      <c r="AI21" s="2"/>
      <c r="AL21" s="2"/>
      <c r="AM21" s="2"/>
      <c r="AN21" s="2"/>
      <c r="AT21" s="2"/>
    </row>
    <row r="22" spans="2:58" ht="18.75" customHeight="1" x14ac:dyDescent="0.25">
      <c r="B22" s="256" t="s">
        <v>470</v>
      </c>
      <c r="C22" s="256"/>
      <c r="D22" s="256"/>
      <c r="E22" s="256"/>
      <c r="F22" s="256"/>
      <c r="G22" s="256"/>
      <c r="H22" s="256"/>
      <c r="I22" s="256"/>
      <c r="J22" s="256"/>
      <c r="K22" s="256"/>
      <c r="L22" s="256"/>
      <c r="M22" s="256"/>
      <c r="N22" s="256"/>
      <c r="O22" s="256"/>
      <c r="P22" s="256"/>
      <c r="Q22" s="256"/>
      <c r="S22" s="417" t="str">
        <f>IFERROR($S$20^2*0.85+$S$20*0.15,"")</f>
        <v/>
      </c>
      <c r="T22" s="418"/>
      <c r="U22" s="418"/>
      <c r="V22" s="419"/>
      <c r="W22" s="33"/>
      <c r="X22" s="414" t="str">
        <f>IFERROR(0.85*X20^2+0.15*X20,"")</f>
        <v/>
      </c>
      <c r="Y22" s="415"/>
      <c r="Z22" s="415"/>
      <c r="AA22" s="416"/>
      <c r="AC22" s="2"/>
      <c r="AE22" s="17"/>
      <c r="AL22" s="2"/>
      <c r="AM22" s="2"/>
      <c r="AN22" s="2"/>
    </row>
    <row r="23" spans="2:58" ht="18.75" customHeight="1" x14ac:dyDescent="0.25">
      <c r="B23" s="256" t="s">
        <v>50</v>
      </c>
      <c r="C23" s="256"/>
      <c r="D23" s="256"/>
      <c r="E23" s="256"/>
      <c r="F23" s="256"/>
      <c r="G23" s="256"/>
      <c r="H23" s="256"/>
      <c r="I23" s="256"/>
      <c r="J23" s="256"/>
      <c r="K23" s="256"/>
      <c r="L23" s="256"/>
      <c r="M23" s="256"/>
      <c r="N23" s="256"/>
      <c r="O23" s="256"/>
      <c r="P23" s="256"/>
      <c r="Q23" s="256"/>
      <c r="S23" s="400"/>
      <c r="T23" s="400"/>
      <c r="U23" s="400"/>
      <c r="V23" s="400"/>
      <c r="W23" s="33"/>
      <c r="X23" s="407">
        <f>S23</f>
        <v>0</v>
      </c>
      <c r="Y23" s="408"/>
      <c r="Z23" s="408"/>
      <c r="AA23" s="409"/>
      <c r="AC23" s="2"/>
      <c r="AL23" s="2"/>
      <c r="AM23" s="2"/>
      <c r="AN23" s="2"/>
    </row>
    <row r="24" spans="2:58" ht="18.75" customHeight="1" x14ac:dyDescent="0.25">
      <c r="B24" s="2"/>
      <c r="C24" s="2"/>
      <c r="D24" s="2"/>
      <c r="S24" s="32"/>
      <c r="T24" s="32"/>
      <c r="U24" s="32"/>
      <c r="V24" s="32"/>
      <c r="X24" s="2"/>
      <c r="Y24" s="2"/>
      <c r="AC24" s="2"/>
      <c r="AI24" s="2"/>
      <c r="AL24" s="2"/>
      <c r="AM24" s="2"/>
      <c r="AN24" s="2"/>
    </row>
    <row r="25" spans="2:58" ht="18.75" customHeight="1" x14ac:dyDescent="0.25">
      <c r="B25" s="256" t="s">
        <v>678</v>
      </c>
      <c r="C25" s="256"/>
      <c r="D25" s="256"/>
      <c r="E25" s="256"/>
      <c r="F25" s="256"/>
      <c r="G25" s="256"/>
      <c r="H25" s="256"/>
      <c r="I25" s="256"/>
      <c r="J25" s="256"/>
      <c r="K25" s="256"/>
      <c r="L25" s="256"/>
      <c r="M25" s="256"/>
      <c r="N25" s="256"/>
      <c r="O25" s="256"/>
      <c r="P25" s="256"/>
      <c r="Q25" s="256"/>
      <c r="S25" s="255"/>
      <c r="T25" s="255"/>
      <c r="U25" s="255"/>
      <c r="V25" s="255"/>
      <c r="X25" s="255"/>
      <c r="Y25" s="255"/>
      <c r="Z25" s="255"/>
      <c r="AA25" s="255"/>
      <c r="AC25" s="2"/>
    </row>
    <row r="26" spans="2:58" ht="18.75" customHeight="1" x14ac:dyDescent="0.25">
      <c r="B26" s="256" t="s">
        <v>677</v>
      </c>
      <c r="C26" s="256"/>
      <c r="D26" s="256"/>
      <c r="E26" s="256"/>
      <c r="F26" s="256"/>
      <c r="G26" s="256"/>
      <c r="H26" s="256"/>
      <c r="I26" s="256"/>
      <c r="J26" s="256"/>
      <c r="K26" s="256"/>
      <c r="L26" s="256"/>
      <c r="M26" s="256"/>
      <c r="N26" s="256"/>
      <c r="O26" s="256"/>
      <c r="P26" s="256"/>
      <c r="Q26" s="256"/>
      <c r="S26" s="255"/>
      <c r="T26" s="255"/>
      <c r="U26" s="255"/>
      <c r="V26" s="255"/>
      <c r="X26" s="255"/>
      <c r="Y26" s="255"/>
      <c r="Z26" s="255"/>
      <c r="AA26" s="255"/>
      <c r="AC26" s="2"/>
    </row>
    <row r="27" spans="2:58" ht="18.75" customHeight="1" x14ac:dyDescent="0.25">
      <c r="B27" s="2"/>
      <c r="C27" s="2"/>
      <c r="S27" s="32"/>
      <c r="T27" s="32"/>
      <c r="U27" s="32"/>
      <c r="V27" s="32"/>
      <c r="X27" s="8"/>
      <c r="Y27" s="2"/>
      <c r="AC27" s="2"/>
    </row>
    <row r="28" spans="2:58" ht="18.75" customHeight="1" x14ac:dyDescent="0.25">
      <c r="B28" s="256" t="s">
        <v>51</v>
      </c>
      <c r="C28" s="256"/>
      <c r="D28" s="256"/>
      <c r="E28" s="256"/>
      <c r="F28" s="256"/>
      <c r="G28" s="256"/>
      <c r="H28" s="256"/>
      <c r="I28" s="256"/>
      <c r="J28" s="256"/>
      <c r="K28" s="256"/>
      <c r="L28" s="256"/>
      <c r="M28" s="256"/>
      <c r="N28" s="256"/>
      <c r="O28" s="256"/>
      <c r="P28" s="256"/>
      <c r="Q28" s="256"/>
      <c r="S28" s="410" t="s">
        <v>492</v>
      </c>
      <c r="T28" s="410"/>
      <c r="U28" s="410"/>
      <c r="V28" s="410"/>
      <c r="X28" s="410" t="s">
        <v>492</v>
      </c>
      <c r="Y28" s="410"/>
      <c r="Z28" s="410"/>
      <c r="AA28" s="410"/>
      <c r="AC28" s="2"/>
    </row>
    <row r="29" spans="2:58" ht="18.75" customHeight="1" x14ac:dyDescent="0.25">
      <c r="B29" s="2"/>
      <c r="C29" s="2"/>
      <c r="S29" s="32"/>
      <c r="T29" s="32"/>
      <c r="U29" s="32"/>
      <c r="V29" s="32"/>
      <c r="X29" s="2"/>
      <c r="Y29" s="2"/>
      <c r="AC29" s="2"/>
    </row>
    <row r="30" spans="2:58" ht="18.75" customHeight="1" x14ac:dyDescent="0.25">
      <c r="B30" s="256" t="s">
        <v>438</v>
      </c>
      <c r="C30" s="256"/>
      <c r="D30" s="256"/>
      <c r="E30" s="256"/>
      <c r="F30" s="256"/>
      <c r="G30" s="256"/>
      <c r="H30" s="256"/>
      <c r="I30" s="256"/>
      <c r="J30" s="256"/>
      <c r="K30" s="256"/>
      <c r="L30" s="256"/>
      <c r="M30" s="256"/>
      <c r="N30" s="256"/>
      <c r="O30" s="256"/>
      <c r="P30" s="256"/>
      <c r="Q30" s="256"/>
      <c r="S30" s="401" t="str">
        <f>IFERROR($S$26*($S$18/$S$17)^2,"")</f>
        <v/>
      </c>
      <c r="T30" s="402"/>
      <c r="U30" s="402"/>
      <c r="V30" s="403"/>
      <c r="X30" s="420" t="str">
        <f>IFERROR($X$26*($X$18/X17)^2,"")</f>
        <v/>
      </c>
      <c r="Y30" s="421"/>
      <c r="Z30" s="421"/>
      <c r="AA30" s="422"/>
      <c r="AC30" s="2"/>
    </row>
    <row r="31" spans="2:58" ht="18.75" customHeight="1" x14ac:dyDescent="0.25">
      <c r="B31" s="256" t="s">
        <v>439</v>
      </c>
      <c r="C31" s="256"/>
      <c r="D31" s="256"/>
      <c r="E31" s="256"/>
      <c r="F31" s="256"/>
      <c r="G31" s="256"/>
      <c r="H31" s="256"/>
      <c r="I31" s="256"/>
      <c r="J31" s="256"/>
      <c r="K31" s="256"/>
      <c r="L31" s="256"/>
      <c r="M31" s="256"/>
      <c r="N31" s="256"/>
      <c r="O31" s="256"/>
      <c r="P31" s="256"/>
      <c r="Q31" s="256"/>
      <c r="S31" s="404">
        <f>IFERROR($S$25*$S$23,"")</f>
        <v>0</v>
      </c>
      <c r="T31" s="405"/>
      <c r="U31" s="405"/>
      <c r="V31" s="406"/>
      <c r="X31" s="423">
        <f>IFERROR($X$25*$X$23,"")</f>
        <v>0</v>
      </c>
      <c r="Y31" s="424"/>
      <c r="Z31" s="424"/>
      <c r="AA31" s="425"/>
      <c r="AC31" s="2"/>
    </row>
    <row r="32" spans="2:58" ht="18.75" customHeight="1" x14ac:dyDescent="0.25">
      <c r="B32" s="256" t="s">
        <v>440</v>
      </c>
      <c r="C32" s="256"/>
      <c r="D32" s="256"/>
      <c r="E32" s="256"/>
      <c r="F32" s="256"/>
      <c r="G32" s="256"/>
      <c r="H32" s="256"/>
      <c r="I32" s="256"/>
      <c r="J32" s="256"/>
      <c r="K32" s="256"/>
      <c r="L32" s="256"/>
      <c r="M32" s="256"/>
      <c r="N32" s="256"/>
      <c r="O32" s="256"/>
      <c r="P32" s="256"/>
      <c r="Q32" s="256"/>
      <c r="S32" s="404" t="str">
        <f>IFERROR($S$30*$S$22*$S$23,"")</f>
        <v/>
      </c>
      <c r="T32" s="405"/>
      <c r="U32" s="405"/>
      <c r="V32" s="406"/>
      <c r="X32" s="423" t="str">
        <f>IFERROR($X$30*$X$22*$X$23,"")</f>
        <v/>
      </c>
      <c r="Y32" s="424"/>
      <c r="Z32" s="424"/>
      <c r="AA32" s="425"/>
      <c r="AC32" s="2"/>
    </row>
    <row r="33" spans="2:38" ht="18.75" customHeight="1" x14ac:dyDescent="0.25">
      <c r="B33" s="256" t="s">
        <v>699</v>
      </c>
      <c r="C33" s="256"/>
      <c r="D33" s="256"/>
      <c r="E33" s="256"/>
      <c r="F33" s="256"/>
      <c r="G33" s="256"/>
      <c r="H33" s="256"/>
      <c r="I33" s="256"/>
      <c r="J33" s="256"/>
      <c r="K33" s="256"/>
      <c r="L33" s="256"/>
      <c r="M33" s="256"/>
      <c r="N33" s="256"/>
      <c r="O33" s="256"/>
      <c r="P33" s="256"/>
      <c r="Q33" s="256"/>
      <c r="S33" s="404">
        <f>IFERROR(SUM(S31:V32),"")</f>
        <v>0</v>
      </c>
      <c r="T33" s="405"/>
      <c r="U33" s="405"/>
      <c r="V33" s="406"/>
      <c r="X33" s="423">
        <f>SUM(X31:AA32)</f>
        <v>0</v>
      </c>
      <c r="Y33" s="424"/>
      <c r="Z33" s="424"/>
      <c r="AA33" s="425"/>
    </row>
    <row r="34" spans="2:38" s="119" customFormat="1" ht="18.75" customHeight="1" thickBot="1" x14ac:dyDescent="0.3"/>
    <row r="35" spans="2:38" ht="18.75" customHeight="1" thickBot="1" x14ac:dyDescent="0.3">
      <c r="B35" s="280" t="s">
        <v>700</v>
      </c>
      <c r="C35" s="281"/>
      <c r="D35" s="281"/>
      <c r="E35" s="281"/>
      <c r="F35" s="281"/>
      <c r="G35" s="281"/>
      <c r="H35" s="281"/>
      <c r="I35" s="281"/>
      <c r="J35" s="281"/>
      <c r="K35" s="281"/>
      <c r="L35" s="281"/>
      <c r="M35" s="281"/>
      <c r="N35" s="281"/>
      <c r="O35" s="281"/>
      <c r="P35" s="281"/>
      <c r="Q35" s="282"/>
      <c r="R35" s="119"/>
      <c r="S35" s="283">
        <f>IFERROR(($S$33-$X$33),"")</f>
        <v>0</v>
      </c>
      <c r="T35" s="284"/>
      <c r="U35" s="284"/>
      <c r="V35" s="284"/>
      <c r="W35" s="284"/>
      <c r="X35" s="284"/>
      <c r="Y35" s="284"/>
      <c r="Z35" s="284"/>
      <c r="AA35" s="285"/>
    </row>
    <row r="36" spans="2:38" ht="18.75" customHeight="1" thickBot="1" x14ac:dyDescent="0.3">
      <c r="B36" s="280" t="s">
        <v>485</v>
      </c>
      <c r="C36" s="281"/>
      <c r="D36" s="281"/>
      <c r="E36" s="281"/>
      <c r="F36" s="281"/>
      <c r="G36" s="281"/>
      <c r="H36" s="281"/>
      <c r="I36" s="281"/>
      <c r="J36" s="281"/>
      <c r="K36" s="281"/>
      <c r="L36" s="281"/>
      <c r="M36" s="281"/>
      <c r="N36" s="281"/>
      <c r="O36" s="281"/>
      <c r="P36" s="281"/>
      <c r="Q36" s="282"/>
      <c r="S36" s="283">
        <f>IFERROR(($S$33-$X$33)*$X$16,"")</f>
        <v>0</v>
      </c>
      <c r="T36" s="284"/>
      <c r="U36" s="284"/>
      <c r="V36" s="284"/>
      <c r="W36" s="284"/>
      <c r="X36" s="284"/>
      <c r="Y36" s="284"/>
      <c r="Z36" s="284"/>
      <c r="AA36" s="285"/>
      <c r="AC36" s="373" t="s">
        <v>487</v>
      </c>
      <c r="AD36" s="374"/>
      <c r="AE36" s="374"/>
      <c r="AF36" s="375"/>
      <c r="AL36" s="5"/>
    </row>
    <row r="37" spans="2:38" ht="18.75" customHeight="1" thickBot="1" x14ac:dyDescent="0.3">
      <c r="B37" s="280" t="s">
        <v>486</v>
      </c>
      <c r="C37" s="281"/>
      <c r="D37" s="281"/>
      <c r="E37" s="281"/>
      <c r="F37" s="281"/>
      <c r="G37" s="281"/>
      <c r="H37" s="281"/>
      <c r="I37" s="281"/>
      <c r="J37" s="281"/>
      <c r="K37" s="281"/>
      <c r="L37" s="281"/>
      <c r="M37" s="281"/>
      <c r="N37" s="281"/>
      <c r="O37" s="281"/>
      <c r="P37" s="281"/>
      <c r="Q37" s="282"/>
      <c r="S37" s="283">
        <f>IFERROR(S36*AC37,"")</f>
        <v>0</v>
      </c>
      <c r="T37" s="284"/>
      <c r="U37" s="284"/>
      <c r="V37" s="284"/>
      <c r="W37" s="284"/>
      <c r="X37" s="284"/>
      <c r="Y37" s="284"/>
      <c r="Z37" s="284"/>
      <c r="AA37" s="285"/>
      <c r="AC37" s="376">
        <v>1.09056</v>
      </c>
      <c r="AD37" s="377"/>
      <c r="AE37" s="377"/>
      <c r="AF37" s="378"/>
      <c r="AL37" s="5"/>
    </row>
    <row r="38" spans="2:38" s="119" customFormat="1" ht="18.75" customHeight="1" thickBot="1" x14ac:dyDescent="0.3"/>
    <row r="39" spans="2:38" ht="18.75" customHeight="1" thickBot="1" x14ac:dyDescent="0.3">
      <c r="B39" s="287" t="s">
        <v>701</v>
      </c>
      <c r="C39" s="288"/>
      <c r="D39" s="288"/>
      <c r="E39" s="288"/>
      <c r="F39" s="288"/>
      <c r="G39" s="288"/>
      <c r="H39" s="288"/>
      <c r="I39" s="288"/>
      <c r="J39" s="288"/>
      <c r="K39" s="288"/>
      <c r="L39" s="288"/>
      <c r="M39" s="288"/>
      <c r="N39" s="288"/>
      <c r="O39" s="288"/>
      <c r="P39" s="288"/>
      <c r="Q39" s="289"/>
      <c r="R39" s="119"/>
      <c r="S39" s="252"/>
      <c r="T39" s="253"/>
      <c r="U39" s="253"/>
      <c r="V39" s="253"/>
      <c r="W39" s="253"/>
      <c r="X39" s="253"/>
      <c r="Y39" s="253"/>
      <c r="Z39" s="253"/>
      <c r="AA39" s="254"/>
    </row>
    <row r="40" spans="2:38" ht="18.75" customHeight="1" thickBot="1" x14ac:dyDescent="0.3">
      <c r="B40" s="287" t="s">
        <v>539</v>
      </c>
      <c r="C40" s="288"/>
      <c r="D40" s="288"/>
      <c r="E40" s="288"/>
      <c r="F40" s="288"/>
      <c r="G40" s="288"/>
      <c r="H40" s="288"/>
      <c r="I40" s="288"/>
      <c r="J40" s="288"/>
      <c r="K40" s="288"/>
      <c r="L40" s="288"/>
      <c r="M40" s="288"/>
      <c r="N40" s="288"/>
      <c r="O40" s="288"/>
      <c r="P40" s="288"/>
      <c r="Q40" s="289"/>
      <c r="S40" s="437">
        <f>$S$39*$X$16</f>
        <v>0</v>
      </c>
      <c r="T40" s="438"/>
      <c r="U40" s="438"/>
      <c r="V40" s="438"/>
      <c r="W40" s="438"/>
      <c r="X40" s="438"/>
      <c r="Y40" s="438"/>
      <c r="Z40" s="438"/>
      <c r="AA40" s="439"/>
    </row>
    <row r="42" spans="2:38" ht="18.75" customHeight="1" x14ac:dyDescent="0.25">
      <c r="B42" s="5" t="s">
        <v>515</v>
      </c>
    </row>
    <row r="43" spans="2:38" ht="18.75" customHeight="1" x14ac:dyDescent="0.25">
      <c r="B43" t="s">
        <v>493</v>
      </c>
      <c r="C43" s="5"/>
      <c r="D43" s="2"/>
    </row>
    <row r="44" spans="2:38" ht="18.75" customHeight="1" thickBot="1" x14ac:dyDescent="0.3">
      <c r="B44" s="69" t="s">
        <v>479</v>
      </c>
      <c r="C44" s="70"/>
      <c r="D44" s="70"/>
      <c r="E44" s="70"/>
      <c r="F44" s="70"/>
      <c r="G44" s="70"/>
      <c r="H44" s="70"/>
      <c r="I44" s="70"/>
      <c r="J44" s="70"/>
      <c r="K44" s="70"/>
      <c r="L44" s="70"/>
      <c r="M44" s="70"/>
      <c r="N44" s="74"/>
      <c r="O44" s="70"/>
      <c r="P44" s="70"/>
      <c r="Q44" s="70"/>
      <c r="R44" s="70"/>
      <c r="S44" s="248" t="s">
        <v>476</v>
      </c>
      <c r="T44" s="248"/>
      <c r="U44" s="248"/>
      <c r="V44" s="249"/>
    </row>
    <row r="45" spans="2:38" ht="18.75" customHeight="1" x14ac:dyDescent="0.25">
      <c r="B45" s="71" t="s">
        <v>475</v>
      </c>
      <c r="C45" s="72"/>
      <c r="D45" s="72"/>
      <c r="E45" s="72"/>
      <c r="F45" s="72"/>
      <c r="G45" s="72"/>
      <c r="H45" s="72"/>
      <c r="I45" s="72"/>
      <c r="J45" s="72"/>
      <c r="K45" s="72"/>
      <c r="L45" s="72"/>
      <c r="M45" s="72"/>
      <c r="N45" s="72"/>
      <c r="O45" s="72"/>
      <c r="P45" s="72"/>
      <c r="Q45" s="72"/>
      <c r="R45" s="72"/>
      <c r="S45" s="250"/>
      <c r="T45" s="250"/>
      <c r="U45" s="250"/>
      <c r="V45" s="251"/>
    </row>
    <row r="46" spans="2:38" ht="18.75" customHeight="1" x14ac:dyDescent="0.25">
      <c r="B46" s="71" t="s">
        <v>477</v>
      </c>
      <c r="C46" s="72"/>
      <c r="D46" s="72"/>
      <c r="E46" s="72"/>
      <c r="F46" s="72"/>
      <c r="G46" s="72"/>
      <c r="H46" s="72"/>
      <c r="I46" s="72"/>
      <c r="J46" s="72"/>
      <c r="K46" s="72"/>
      <c r="L46" s="72"/>
      <c r="M46" s="72"/>
      <c r="N46" s="72"/>
      <c r="O46" s="72"/>
      <c r="P46" s="72"/>
      <c r="Q46" s="72"/>
      <c r="R46" s="72"/>
      <c r="S46" s="250"/>
      <c r="T46" s="250"/>
      <c r="U46" s="250"/>
      <c r="V46" s="251"/>
    </row>
    <row r="47" spans="2:38" ht="18.75" customHeight="1" thickBot="1" x14ac:dyDescent="0.3">
      <c r="B47" s="71" t="s">
        <v>473</v>
      </c>
      <c r="C47" s="72"/>
      <c r="D47" s="72"/>
      <c r="E47" s="72"/>
      <c r="F47" s="72"/>
      <c r="G47" s="72"/>
      <c r="H47" s="72"/>
      <c r="I47" s="72"/>
      <c r="J47" s="72"/>
      <c r="K47" s="72"/>
      <c r="L47" s="72"/>
      <c r="M47" s="72"/>
      <c r="N47" s="72"/>
      <c r="O47" s="72"/>
      <c r="P47" s="72"/>
      <c r="Q47" s="72"/>
      <c r="R47" s="72"/>
      <c r="S47" s="250"/>
      <c r="T47" s="250"/>
      <c r="U47" s="250"/>
      <c r="V47" s="251"/>
      <c r="X47" s="32"/>
    </row>
    <row r="48" spans="2:38" ht="18.75" customHeight="1" thickBot="1" x14ac:dyDescent="0.3">
      <c r="B48" s="73" t="s">
        <v>478</v>
      </c>
      <c r="C48" s="72"/>
      <c r="D48" s="72"/>
      <c r="E48" s="72"/>
      <c r="F48" s="72"/>
      <c r="G48" s="72"/>
      <c r="H48" s="72"/>
      <c r="I48" s="72"/>
      <c r="J48" s="72"/>
      <c r="K48" s="72"/>
      <c r="L48" s="72"/>
      <c r="M48" s="72"/>
      <c r="N48" s="72"/>
      <c r="O48" s="72"/>
      <c r="P48" s="72"/>
      <c r="Q48" s="72"/>
      <c r="R48" s="72"/>
      <c r="S48" s="250"/>
      <c r="T48" s="250"/>
      <c r="U48" s="250"/>
      <c r="V48" s="251"/>
      <c r="X48" s="63"/>
      <c r="AC48" s="63"/>
      <c r="AH48" s="63"/>
    </row>
    <row r="49" spans="1:27" ht="18.75" customHeight="1" x14ac:dyDescent="0.25">
      <c r="B49" s="71" t="s">
        <v>474</v>
      </c>
      <c r="C49" s="72"/>
      <c r="D49" s="72"/>
      <c r="E49" s="72"/>
      <c r="F49" s="72"/>
      <c r="G49" s="72"/>
      <c r="H49" s="72"/>
      <c r="I49" s="72"/>
      <c r="J49" s="72"/>
      <c r="K49" s="72"/>
      <c r="L49" s="72"/>
      <c r="M49" s="72"/>
      <c r="N49" s="72"/>
      <c r="O49" s="72"/>
      <c r="P49" s="72"/>
      <c r="Q49" s="72"/>
      <c r="R49" s="72"/>
      <c r="S49" s="250"/>
      <c r="T49" s="250"/>
      <c r="U49" s="250"/>
      <c r="V49" s="251"/>
    </row>
    <row r="50" spans="1:27" ht="18.75" customHeight="1" x14ac:dyDescent="0.25">
      <c r="B50" s="71" t="s">
        <v>488</v>
      </c>
      <c r="C50" s="72"/>
      <c r="D50" s="72"/>
      <c r="E50" s="72"/>
      <c r="F50" s="72"/>
      <c r="G50" s="72"/>
      <c r="H50" s="72"/>
      <c r="I50" s="72"/>
      <c r="J50" s="72"/>
      <c r="K50" s="72"/>
      <c r="L50" s="72"/>
      <c r="M50" s="72"/>
      <c r="N50" s="72"/>
      <c r="O50" s="72"/>
      <c r="P50" s="72"/>
      <c r="Q50" s="72"/>
      <c r="R50" s="72"/>
      <c r="S50" s="250"/>
      <c r="T50" s="250"/>
      <c r="U50" s="250"/>
      <c r="V50" s="251"/>
    </row>
    <row r="51" spans="1:27" ht="18.75" customHeight="1" x14ac:dyDescent="0.25">
      <c r="B51" s="73" t="s">
        <v>489</v>
      </c>
      <c r="C51" s="72"/>
      <c r="D51" s="72"/>
      <c r="E51" s="72"/>
      <c r="F51" s="72"/>
      <c r="G51" s="72"/>
      <c r="H51" s="72"/>
      <c r="I51" s="72"/>
      <c r="J51" s="72"/>
      <c r="K51" s="72"/>
      <c r="L51" s="72"/>
      <c r="M51" s="72"/>
      <c r="N51" s="72"/>
      <c r="O51" s="72"/>
      <c r="P51" s="72"/>
      <c r="Q51" s="72"/>
      <c r="R51" s="72"/>
      <c r="S51" s="250"/>
      <c r="T51" s="250"/>
      <c r="U51" s="250"/>
      <c r="V51" s="251"/>
    </row>
    <row r="52" spans="1:27" ht="18.75" customHeight="1" x14ac:dyDescent="0.25">
      <c r="B52" s="75" t="s">
        <v>490</v>
      </c>
      <c r="C52" s="62"/>
      <c r="D52" s="62"/>
      <c r="E52" s="62"/>
      <c r="F52" s="62"/>
      <c r="G52" s="62"/>
      <c r="H52" s="62"/>
      <c r="I52" s="62"/>
      <c r="J52" s="62"/>
      <c r="K52" s="62"/>
      <c r="L52" s="62"/>
      <c r="M52" s="62"/>
      <c r="N52" s="62"/>
      <c r="O52" s="62"/>
      <c r="P52" s="62"/>
      <c r="Q52" s="62"/>
      <c r="R52" s="62"/>
      <c r="S52" s="62"/>
      <c r="T52" s="62"/>
      <c r="U52" s="62"/>
      <c r="V52" s="76"/>
    </row>
    <row r="53" spans="1:27" ht="18.75" customHeight="1" thickBot="1" x14ac:dyDescent="0.3">
      <c r="B53" s="146" t="s">
        <v>689</v>
      </c>
    </row>
    <row r="54" spans="1:27" ht="18.75" customHeight="1" thickBot="1" x14ac:dyDescent="0.3">
      <c r="B54" s="287" t="s">
        <v>410</v>
      </c>
      <c r="C54" s="288"/>
      <c r="D54" s="288"/>
      <c r="E54" s="288"/>
      <c r="F54" s="288"/>
      <c r="G54" s="288"/>
      <c r="H54" s="288"/>
      <c r="I54" s="288"/>
      <c r="J54" s="288"/>
      <c r="K54" s="288"/>
      <c r="L54" s="288"/>
      <c r="M54" s="288"/>
      <c r="N54" s="288"/>
      <c r="O54" s="288"/>
      <c r="P54" s="288"/>
      <c r="Q54" s="289"/>
      <c r="S54" s="277" t="str">
        <f ca="1">IFERROR(IF(S40&lt;0,0,IF(S37*J12&lt;(0.7*$S$40),S37*J12,0.7*$S$40)),"")</f>
        <v/>
      </c>
      <c r="T54" s="278"/>
      <c r="U54" s="278"/>
      <c r="V54" s="278"/>
      <c r="W54" s="278"/>
      <c r="X54" s="278"/>
      <c r="Y54" s="278"/>
      <c r="Z54" s="278"/>
      <c r="AA54" s="279"/>
    </row>
    <row r="55" spans="1:27" ht="18.75" customHeight="1" thickBot="1" x14ac:dyDescent="0.3">
      <c r="B55" s="287" t="s">
        <v>411</v>
      </c>
      <c r="C55" s="288"/>
      <c r="D55" s="288"/>
      <c r="E55" s="288"/>
      <c r="F55" s="288"/>
      <c r="G55" s="288"/>
      <c r="H55" s="288"/>
      <c r="I55" s="288"/>
      <c r="J55" s="288"/>
      <c r="K55" s="288"/>
      <c r="L55" s="288"/>
      <c r="M55" s="288"/>
      <c r="N55" s="288"/>
      <c r="O55" s="288"/>
      <c r="P55" s="288"/>
      <c r="Q55" s="289"/>
      <c r="S55" s="277" t="str">
        <f ca="1">IFERROR(S54*Summary!$M$18,"")</f>
        <v/>
      </c>
      <c r="T55" s="278"/>
      <c r="U55" s="278"/>
      <c r="V55" s="278"/>
      <c r="W55" s="278"/>
      <c r="X55" s="278"/>
      <c r="Y55" s="278"/>
      <c r="Z55" s="278"/>
      <c r="AA55" s="279"/>
    </row>
    <row r="56" spans="1:27" ht="18.75" customHeight="1" thickBot="1" x14ac:dyDescent="0.3">
      <c r="B56" s="287" t="s">
        <v>412</v>
      </c>
      <c r="C56" s="288"/>
      <c r="D56" s="288"/>
      <c r="E56" s="288"/>
      <c r="F56" s="288"/>
      <c r="G56" s="288"/>
      <c r="H56" s="288"/>
      <c r="I56" s="288"/>
      <c r="J56" s="288"/>
      <c r="K56" s="288"/>
      <c r="L56" s="288"/>
      <c r="M56" s="288"/>
      <c r="N56" s="288"/>
      <c r="O56" s="288"/>
      <c r="P56" s="288"/>
      <c r="Q56" s="289"/>
      <c r="S56" s="277" t="str">
        <f ca="1">IFERROR(S54*Summary!$M$19,"")</f>
        <v/>
      </c>
      <c r="T56" s="278"/>
      <c r="U56" s="278"/>
      <c r="V56" s="278"/>
      <c r="W56" s="278"/>
      <c r="X56" s="278"/>
      <c r="Y56" s="278"/>
      <c r="Z56" s="278"/>
      <c r="AA56" s="279"/>
    </row>
    <row r="58" spans="1:27" ht="18.75" customHeight="1" x14ac:dyDescent="0.25">
      <c r="A58" s="68" t="s">
        <v>484</v>
      </c>
    </row>
  </sheetData>
  <sheetProtection password="BD7D" sheet="1" scenarios="1"/>
  <mergeCells count="85">
    <mergeCell ref="B35:Q35"/>
    <mergeCell ref="S35:AA35"/>
    <mergeCell ref="B39:Q39"/>
    <mergeCell ref="S39:AA39"/>
    <mergeCell ref="B16:Q16"/>
    <mergeCell ref="S16:V16"/>
    <mergeCell ref="X16:AA16"/>
    <mergeCell ref="B28:Q28"/>
    <mergeCell ref="S28:V28"/>
    <mergeCell ref="X28:AA28"/>
    <mergeCell ref="X32:AA32"/>
    <mergeCell ref="B33:Q33"/>
    <mergeCell ref="S33:V33"/>
    <mergeCell ref="X33:AA33"/>
    <mergeCell ref="B30:Q30"/>
    <mergeCell ref="S30:V30"/>
    <mergeCell ref="AC18:AL20"/>
    <mergeCell ref="B56:Q56"/>
    <mergeCell ref="S56:AA56"/>
    <mergeCell ref="B54:Q54"/>
    <mergeCell ref="S54:AA54"/>
    <mergeCell ref="AC36:AF36"/>
    <mergeCell ref="AC37:AF37"/>
    <mergeCell ref="B55:Q55"/>
    <mergeCell ref="S55:AA55"/>
    <mergeCell ref="S44:V51"/>
    <mergeCell ref="B36:Q36"/>
    <mergeCell ref="S36:AA36"/>
    <mergeCell ref="B37:Q37"/>
    <mergeCell ref="S37:AA37"/>
    <mergeCell ref="B32:Q32"/>
    <mergeCell ref="S32:V32"/>
    <mergeCell ref="X30:AA30"/>
    <mergeCell ref="B31:Q31"/>
    <mergeCell ref="S31:V31"/>
    <mergeCell ref="X31:AA31"/>
    <mergeCell ref="B25:Q25"/>
    <mergeCell ref="S25:V25"/>
    <mergeCell ref="X25:AA25"/>
    <mergeCell ref="B26:Q26"/>
    <mergeCell ref="S26:V26"/>
    <mergeCell ref="X26:AA26"/>
    <mergeCell ref="B22:Q22"/>
    <mergeCell ref="S22:V22"/>
    <mergeCell ref="X22:AA22"/>
    <mergeCell ref="B23:Q23"/>
    <mergeCell ref="S23:V23"/>
    <mergeCell ref="X23:AA23"/>
    <mergeCell ref="X18:AA18"/>
    <mergeCell ref="B19:Q19"/>
    <mergeCell ref="S19:V19"/>
    <mergeCell ref="X19:AA19"/>
    <mergeCell ref="B20:Q20"/>
    <mergeCell ref="S20:V20"/>
    <mergeCell ref="X20:AA20"/>
    <mergeCell ref="B6:G6"/>
    <mergeCell ref="B7:G7"/>
    <mergeCell ref="S40:AA40"/>
    <mergeCell ref="B40:Q40"/>
    <mergeCell ref="B11:G11"/>
    <mergeCell ref="B8:G8"/>
    <mergeCell ref="B9:G9"/>
    <mergeCell ref="B10:G10"/>
    <mergeCell ref="B12:I12"/>
    <mergeCell ref="S14:V15"/>
    <mergeCell ref="X14:AA15"/>
    <mergeCell ref="B17:Q17"/>
    <mergeCell ref="S17:V17"/>
    <mergeCell ref="X17:AA17"/>
    <mergeCell ref="B18:Q18"/>
    <mergeCell ref="S18:V18"/>
    <mergeCell ref="B5:G5"/>
    <mergeCell ref="AC2:AI2"/>
    <mergeCell ref="AC3:AI3"/>
    <mergeCell ref="AC4:AI4"/>
    <mergeCell ref="B4:G4"/>
    <mergeCell ref="H4:AA4"/>
    <mergeCell ref="H5:AA5"/>
    <mergeCell ref="H11:AA11"/>
    <mergeCell ref="J12:AA12"/>
    <mergeCell ref="H6:AA6"/>
    <mergeCell ref="H7:AA7"/>
    <mergeCell ref="H8:AA8"/>
    <mergeCell ref="H9:AA9"/>
    <mergeCell ref="H10:AA10"/>
  </mergeCells>
  <conditionalFormatting sqref="S17:V17 H6:H8 S39">
    <cfRule type="expression" dxfId="72" priority="923">
      <formula>IF(OR(H6="--Select--",ISBLANK(H6)),TRUE,FALSE)</formula>
    </cfRule>
  </conditionalFormatting>
  <conditionalFormatting sqref="S18:V19">
    <cfRule type="expression" dxfId="71" priority="842">
      <formula>IF(OR(S18="--Select--",ISBLANK(S18)),TRUE,FALSE)</formula>
    </cfRule>
  </conditionalFormatting>
  <conditionalFormatting sqref="X17:AA19">
    <cfRule type="expression" dxfId="70" priority="338">
      <formula>IF(OR(X17="--Select--",ISBLANK(X17)),TRUE,FALSE)</formula>
    </cfRule>
  </conditionalFormatting>
  <conditionalFormatting sqref="S23:V23">
    <cfRule type="expression" dxfId="69" priority="258">
      <formula>IF(OR(S23="--Select--",ISBLANK(S23)),TRUE,FALSE)</formula>
    </cfRule>
  </conditionalFormatting>
  <conditionalFormatting sqref="X23:AA23">
    <cfRule type="expression" dxfId="68" priority="27">
      <formula>IF(OR(X23="--Select--",ISBLANK(X23)),TRUE,FALSE)</formula>
    </cfRule>
  </conditionalFormatting>
  <conditionalFormatting sqref="S25:V26">
    <cfRule type="expression" dxfId="67" priority="26">
      <formula>IF(OR(S25="--Select--",ISBLANK(S25)),TRUE,FALSE)</formula>
    </cfRule>
  </conditionalFormatting>
  <conditionalFormatting sqref="X25:AA26">
    <cfRule type="expression" dxfId="66" priority="25">
      <formula>IF(OR(X25="--Select--",ISBLANK(X25)),TRUE,FALSE)</formula>
    </cfRule>
  </conditionalFormatting>
  <conditionalFormatting sqref="S28:V28">
    <cfRule type="expression" dxfId="65" priority="24">
      <formula>IF(OR(S28="--Select--",ISBLANK(S28)),TRUE,FALSE)</formula>
    </cfRule>
  </conditionalFormatting>
  <conditionalFormatting sqref="J12">
    <cfRule type="expression" dxfId="64" priority="23">
      <formula>IF(OR(J12="--Select--",ISBLANK(J12)),TRUE,FALSE)</formula>
    </cfRule>
  </conditionalFormatting>
  <conditionalFormatting sqref="H10">
    <cfRule type="expression" dxfId="63" priority="22">
      <formula>IF(OR(H10="--Select--",ISBLANK(H10)),TRUE,FALSE)</formula>
    </cfRule>
  </conditionalFormatting>
  <conditionalFormatting sqref="X28:AA28">
    <cfRule type="expression" dxfId="62" priority="20">
      <formula>IF(OR(X28="--Select--",ISBLANK(X28)),TRUE,FALSE)</formula>
    </cfRule>
  </conditionalFormatting>
  <conditionalFormatting sqref="H4">
    <cfRule type="expression" dxfId="61" priority="19">
      <formula>IF(OR(H4="--Select--",ISBLANK(H4)),TRUE,FALSE)</formula>
    </cfRule>
  </conditionalFormatting>
  <conditionalFormatting sqref="H5">
    <cfRule type="expression" dxfId="60" priority="16">
      <formula>IF(OR(H5="--Select--",ISBLANK(H5)),TRUE,FALSE)</formula>
    </cfRule>
  </conditionalFormatting>
  <conditionalFormatting sqref="X23:AA23">
    <cfRule type="expression" dxfId="59" priority="15">
      <formula>IF(OR(X23="--Select--",ISBLANK(X23)),TRUE,FALSE)</formula>
    </cfRule>
  </conditionalFormatting>
  <conditionalFormatting sqref="H9">
    <cfRule type="expression" dxfId="58" priority="13">
      <formula>IF(OR(H9="--Select--",ISBLANK(H9)),TRUE,FALSE)</formula>
    </cfRule>
  </conditionalFormatting>
  <pageMargins left="0.7" right="0.7" top="0.75" bottom="0.75" header="0.3" footer="0.3"/>
  <pageSetup orientation="portrait" r:id="rId1"/>
  <ignoredErrors>
    <ignoredError sqref="X18:X19 X23" unlockedFormula="1"/>
  </ignoredErrors>
  <extLst>
    <ext xmlns:x14="http://schemas.microsoft.com/office/spreadsheetml/2009/9/main" uri="{78C0D931-6437-407d-A8EE-F0AAD7539E65}">
      <x14:conditionalFormattings>
        <x14:conditionalFormatting xmlns:xm="http://schemas.microsoft.com/office/excel/2006/main">
          <x14:cfRule type="expression" priority="1" id="{21D5164A-2A54-4E28-BC2F-A4CD362BCB04}">
            <xm:f>OR(Summary!$P$23="--Select--", Summary!$P$23&lt;3, Summary!$P$12="--Select--",Summary!$P$12="Re-Conductor Only")</xm:f>
            <x14:dxf>
              <fill>
                <patternFill>
                  <bgColor theme="1"/>
                </patternFill>
              </fill>
            </x14:dxf>
          </x14:cfRule>
          <xm:sqref>A1:XFD1048576</xm:sqref>
        </x14:conditionalFormatting>
      </x14:conditionalFormattings>
    </ext>
    <ext xmlns:x14="http://schemas.microsoft.com/office/spreadsheetml/2009/9/main" uri="{CCE6A557-97BC-4b89-ADB6-D9C93CAAB3DF}">
      <x14:dataValidations xmlns:xm="http://schemas.microsoft.com/office/excel/2006/main" count="2">
        <x14:dataValidation type="list" allowBlank="1" showInputMessage="1" showErrorMessage="1">
          <x14:formula1>
            <xm:f>Lists!$L$2:$L$4</xm:f>
          </x14:formula1>
          <xm:sqref>H10</xm:sqref>
        </x14:dataValidation>
        <x14:dataValidation type="list" allowBlank="1" showInputMessage="1" showErrorMessage="1">
          <x14:formula1>
            <xm:f>Lists!$J$2:$J$6</xm:f>
          </x14:formula1>
          <xm:sqref>H9</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Z58"/>
  <sheetViews>
    <sheetView showGridLines="0" zoomScaleNormal="100" workbookViewId="0">
      <selection activeCell="H4" sqref="H4:AA4"/>
    </sheetView>
  </sheetViews>
  <sheetFormatPr defaultColWidth="3.5703125" defaultRowHeight="18.75" customHeight="1" x14ac:dyDescent="0.25"/>
  <sheetData>
    <row r="1" spans="1:78" ht="18.75" customHeight="1" x14ac:dyDescent="0.3">
      <c r="A1" s="95"/>
      <c r="B1" s="94" t="s">
        <v>506</v>
      </c>
      <c r="C1" s="95"/>
      <c r="D1" s="95"/>
      <c r="E1" s="95"/>
      <c r="F1" s="95"/>
      <c r="G1" s="95"/>
      <c r="H1" s="95"/>
      <c r="I1" s="95"/>
      <c r="J1" s="95"/>
      <c r="K1" s="95"/>
      <c r="L1" s="95"/>
      <c r="M1" s="95"/>
      <c r="N1" s="95"/>
      <c r="O1" s="95"/>
      <c r="P1" s="95"/>
      <c r="Q1" s="95"/>
      <c r="R1" s="95"/>
      <c r="S1" s="95"/>
      <c r="T1" s="95"/>
      <c r="U1" s="95"/>
      <c r="V1" s="95"/>
      <c r="W1" s="95"/>
      <c r="X1" s="95"/>
      <c r="Y1" s="95"/>
      <c r="Z1" s="95"/>
      <c r="AA1" s="95"/>
      <c r="AB1" s="95"/>
      <c r="AC1" s="95"/>
      <c r="AD1" s="95"/>
      <c r="AE1" s="95"/>
      <c r="AF1" s="95"/>
      <c r="AG1" s="95"/>
      <c r="AH1" s="95"/>
      <c r="AI1" s="95"/>
      <c r="AJ1" s="95"/>
      <c r="AK1" s="95"/>
      <c r="AL1" s="95"/>
      <c r="AM1" s="95"/>
      <c r="AN1" s="95"/>
      <c r="AO1" s="95"/>
      <c r="AP1" s="95"/>
      <c r="AQ1" s="95"/>
      <c r="AR1" s="95"/>
      <c r="AS1" s="95"/>
      <c r="AT1" s="95"/>
      <c r="AU1" s="95"/>
      <c r="AV1" s="95"/>
      <c r="AW1" s="95"/>
      <c r="AX1" s="95"/>
      <c r="AY1" s="95"/>
      <c r="AZ1" s="95"/>
      <c r="BA1" s="95"/>
      <c r="BB1" s="95"/>
      <c r="BC1" s="95"/>
      <c r="BD1" s="95"/>
      <c r="BE1" s="95"/>
      <c r="BF1" s="95"/>
      <c r="BG1" s="95"/>
      <c r="BH1" s="95"/>
      <c r="BI1" s="95"/>
      <c r="BJ1" s="95"/>
      <c r="BK1" s="95"/>
      <c r="BL1" s="95"/>
      <c r="BM1" s="95"/>
      <c r="BN1" s="95"/>
      <c r="BO1" s="95"/>
      <c r="BP1" s="95"/>
      <c r="BQ1" s="95"/>
      <c r="BR1" s="95"/>
      <c r="BS1" s="95"/>
      <c r="BT1" s="95"/>
      <c r="BU1" s="95"/>
      <c r="BV1" s="95"/>
      <c r="BW1" s="95"/>
      <c r="BX1" s="95"/>
      <c r="BY1" s="95"/>
      <c r="BZ1" s="95"/>
    </row>
    <row r="2" spans="1:78" ht="18.75" customHeight="1" x14ac:dyDescent="0.25">
      <c r="D2" s="2"/>
      <c r="E2" s="2"/>
      <c r="F2" s="2"/>
      <c r="G2" s="2"/>
      <c r="H2" s="2"/>
      <c r="I2" s="2"/>
      <c r="AC2" s="302" t="s">
        <v>391</v>
      </c>
      <c r="AD2" s="302"/>
      <c r="AE2" s="302"/>
      <c r="AF2" s="302"/>
      <c r="AG2" s="302"/>
      <c r="AH2" s="302"/>
      <c r="AI2" s="302"/>
    </row>
    <row r="3" spans="1:78" ht="18.75" customHeight="1" x14ac:dyDescent="0.25">
      <c r="B3" s="2"/>
      <c r="C3" s="2"/>
      <c r="D3" s="2"/>
      <c r="E3" s="2"/>
      <c r="F3" s="2"/>
      <c r="G3" s="2"/>
      <c r="AC3" s="380" t="s">
        <v>392</v>
      </c>
      <c r="AD3" s="380"/>
      <c r="AE3" s="380"/>
      <c r="AF3" s="380"/>
      <c r="AG3" s="380"/>
      <c r="AH3" s="380"/>
      <c r="AI3" s="380"/>
    </row>
    <row r="4" spans="1:78" ht="18.75" customHeight="1" x14ac:dyDescent="0.25">
      <c r="B4" s="162" t="s">
        <v>455</v>
      </c>
      <c r="C4" s="162"/>
      <c r="D4" s="162"/>
      <c r="E4" s="162"/>
      <c r="F4" s="162"/>
      <c r="G4" s="162"/>
      <c r="H4" s="172"/>
      <c r="I4" s="172"/>
      <c r="J4" s="172"/>
      <c r="K4" s="172"/>
      <c r="L4" s="172"/>
      <c r="M4" s="172"/>
      <c r="N4" s="172"/>
      <c r="O4" s="172"/>
      <c r="P4" s="172"/>
      <c r="Q4" s="172"/>
      <c r="R4" s="172"/>
      <c r="S4" s="172"/>
      <c r="T4" s="172"/>
      <c r="U4" s="172"/>
      <c r="V4" s="172"/>
      <c r="W4" s="172"/>
      <c r="X4" s="172"/>
      <c r="Y4" s="172"/>
      <c r="Z4" s="172"/>
      <c r="AA4" s="172"/>
      <c r="AC4" s="381" t="s">
        <v>393</v>
      </c>
      <c r="AD4" s="381"/>
      <c r="AE4" s="381"/>
      <c r="AF4" s="381"/>
      <c r="AG4" s="381"/>
      <c r="AH4" s="381"/>
      <c r="AI4" s="381"/>
    </row>
    <row r="5" spans="1:78" ht="18.75" customHeight="1" x14ac:dyDescent="0.25">
      <c r="B5" s="162" t="s">
        <v>67</v>
      </c>
      <c r="C5" s="162"/>
      <c r="D5" s="162"/>
      <c r="E5" s="162"/>
      <c r="F5" s="162"/>
      <c r="G5" s="162"/>
      <c r="H5" s="175"/>
      <c r="I5" s="175"/>
      <c r="J5" s="175"/>
      <c r="K5" s="175"/>
      <c r="L5" s="175"/>
      <c r="M5" s="175"/>
      <c r="N5" s="175"/>
      <c r="O5" s="175"/>
      <c r="P5" s="175"/>
      <c r="Q5" s="175"/>
      <c r="R5" s="175"/>
      <c r="S5" s="175"/>
      <c r="T5" s="175"/>
      <c r="U5" s="175"/>
      <c r="V5" s="175"/>
      <c r="W5" s="175"/>
      <c r="X5" s="175"/>
      <c r="Y5" s="175"/>
      <c r="Z5" s="175"/>
      <c r="AA5" s="175"/>
    </row>
    <row r="6" spans="1:78" ht="18.75" customHeight="1" x14ac:dyDescent="0.25">
      <c r="B6" s="162" t="s">
        <v>468</v>
      </c>
      <c r="C6" s="162"/>
      <c r="D6" s="162"/>
      <c r="E6" s="162"/>
      <c r="F6" s="162"/>
      <c r="G6" s="162"/>
      <c r="H6" s="175"/>
      <c r="I6" s="175"/>
      <c r="J6" s="175"/>
      <c r="K6" s="175"/>
      <c r="L6" s="175"/>
      <c r="M6" s="175"/>
      <c r="N6" s="175"/>
      <c r="O6" s="175"/>
      <c r="P6" s="175"/>
      <c r="Q6" s="175"/>
      <c r="R6" s="175"/>
      <c r="S6" s="175"/>
      <c r="T6" s="175"/>
      <c r="U6" s="175"/>
      <c r="V6" s="175"/>
      <c r="W6" s="175"/>
      <c r="X6" s="175"/>
      <c r="Y6" s="175"/>
      <c r="Z6" s="175"/>
      <c r="AA6" s="175"/>
      <c r="AL6" s="2"/>
    </row>
    <row r="7" spans="1:78" ht="18.75" customHeight="1" x14ac:dyDescent="0.25">
      <c r="B7" s="162" t="s">
        <v>12</v>
      </c>
      <c r="C7" s="162"/>
      <c r="D7" s="162"/>
      <c r="E7" s="162"/>
      <c r="F7" s="162"/>
      <c r="G7" s="162"/>
      <c r="H7" s="175"/>
      <c r="I7" s="175"/>
      <c r="J7" s="175"/>
      <c r="K7" s="175"/>
      <c r="L7" s="175"/>
      <c r="M7" s="175"/>
      <c r="N7" s="175"/>
      <c r="O7" s="175"/>
      <c r="P7" s="175"/>
      <c r="Q7" s="175"/>
      <c r="R7" s="175"/>
      <c r="S7" s="175"/>
      <c r="T7" s="175"/>
      <c r="U7" s="175"/>
      <c r="V7" s="175"/>
      <c r="W7" s="175"/>
      <c r="X7" s="175"/>
      <c r="Y7" s="175"/>
      <c r="Z7" s="175"/>
      <c r="AA7" s="175"/>
      <c r="AF7" s="8"/>
      <c r="AG7" s="8"/>
      <c r="AH7" s="8"/>
      <c r="AI7" s="2"/>
      <c r="AJ7" s="2"/>
      <c r="AK7" s="2"/>
      <c r="AL7" s="2"/>
    </row>
    <row r="8" spans="1:78" ht="18.75" customHeight="1" x14ac:dyDescent="0.25">
      <c r="B8" s="162" t="s">
        <v>13</v>
      </c>
      <c r="C8" s="162"/>
      <c r="D8" s="162"/>
      <c r="E8" s="162"/>
      <c r="F8" s="162"/>
      <c r="G8" s="162"/>
      <c r="H8" s="175"/>
      <c r="I8" s="175"/>
      <c r="J8" s="175"/>
      <c r="K8" s="175"/>
      <c r="L8" s="175"/>
      <c r="M8" s="175"/>
      <c r="N8" s="175"/>
      <c r="O8" s="175"/>
      <c r="P8" s="175"/>
      <c r="Q8" s="175"/>
      <c r="R8" s="175"/>
      <c r="S8" s="175"/>
      <c r="T8" s="175"/>
      <c r="U8" s="175"/>
      <c r="V8" s="175"/>
      <c r="W8" s="175"/>
      <c r="X8" s="175"/>
      <c r="Y8" s="175"/>
      <c r="Z8" s="175"/>
      <c r="AA8" s="175"/>
      <c r="AF8" s="8"/>
      <c r="AG8" s="8"/>
      <c r="AH8" s="8"/>
      <c r="AI8" s="2"/>
      <c r="AJ8" s="2"/>
      <c r="AK8" s="2"/>
      <c r="AL8" s="2"/>
    </row>
    <row r="9" spans="1:78" ht="18.75" customHeight="1" x14ac:dyDescent="0.25">
      <c r="B9" s="162" t="s">
        <v>48</v>
      </c>
      <c r="C9" s="162"/>
      <c r="D9" s="162"/>
      <c r="E9" s="162"/>
      <c r="F9" s="162"/>
      <c r="G9" s="162"/>
      <c r="H9" s="175" t="s">
        <v>3</v>
      </c>
      <c r="I9" s="175"/>
      <c r="J9" s="175"/>
      <c r="K9" s="175"/>
      <c r="L9" s="175"/>
      <c r="M9" s="175"/>
      <c r="N9" s="175"/>
      <c r="O9" s="175"/>
      <c r="P9" s="175"/>
      <c r="Q9" s="175"/>
      <c r="R9" s="175"/>
      <c r="S9" s="175"/>
      <c r="T9" s="175"/>
      <c r="U9" s="175"/>
      <c r="V9" s="175"/>
      <c r="W9" s="175"/>
      <c r="X9" s="175"/>
      <c r="Y9" s="175"/>
      <c r="Z9" s="175"/>
      <c r="AA9" s="175"/>
      <c r="AF9" s="3"/>
      <c r="AG9" s="4"/>
      <c r="AH9" s="3"/>
      <c r="AI9" s="3"/>
      <c r="AJ9" s="3"/>
      <c r="AK9" s="3"/>
      <c r="AL9" s="2"/>
    </row>
    <row r="10" spans="1:78" ht="18.75" customHeight="1" x14ac:dyDescent="0.25">
      <c r="B10" s="162" t="s">
        <v>425</v>
      </c>
      <c r="C10" s="162"/>
      <c r="D10" s="162"/>
      <c r="E10" s="162"/>
      <c r="F10" s="162"/>
      <c r="G10" s="162"/>
      <c r="H10" s="172" t="s">
        <v>3</v>
      </c>
      <c r="I10" s="172"/>
      <c r="J10" s="172"/>
      <c r="K10" s="172"/>
      <c r="L10" s="172"/>
      <c r="M10" s="172"/>
      <c r="N10" s="172"/>
      <c r="O10" s="172"/>
      <c r="P10" s="172"/>
      <c r="Q10" s="172"/>
      <c r="R10" s="172"/>
      <c r="S10" s="172"/>
      <c r="T10" s="172"/>
      <c r="U10" s="172"/>
      <c r="V10" s="172"/>
      <c r="W10" s="172"/>
      <c r="X10" s="172"/>
      <c r="Y10" s="172"/>
      <c r="Z10" s="172"/>
      <c r="AA10" s="172"/>
      <c r="AF10" s="3"/>
      <c r="AG10" s="4"/>
      <c r="AI10" s="2"/>
      <c r="AJ10" s="2"/>
      <c r="AK10" s="3"/>
      <c r="AL10" s="2"/>
    </row>
    <row r="11" spans="1:78" ht="18.75" customHeight="1" x14ac:dyDescent="0.25">
      <c r="B11" s="162" t="s">
        <v>14</v>
      </c>
      <c r="C11" s="162"/>
      <c r="D11" s="162"/>
      <c r="E11" s="162"/>
      <c r="F11" s="162"/>
      <c r="G11" s="162"/>
      <c r="H11" s="399" t="str">
        <f>IF(H10="New Construction","UUDTR95006",IF(H10="Retrofit","UUDTR85006",""))</f>
        <v/>
      </c>
      <c r="I11" s="399"/>
      <c r="J11" s="399"/>
      <c r="K11" s="399"/>
      <c r="L11" s="399"/>
      <c r="M11" s="399"/>
      <c r="N11" s="399"/>
      <c r="O11" s="399"/>
      <c r="P11" s="399"/>
      <c r="Q11" s="399"/>
      <c r="R11" s="399"/>
      <c r="S11" s="399"/>
      <c r="T11" s="399"/>
      <c r="U11" s="399"/>
      <c r="V11" s="399"/>
      <c r="W11" s="399"/>
      <c r="X11" s="399"/>
      <c r="Y11" s="399"/>
      <c r="Z11" s="399"/>
      <c r="AA11" s="399"/>
    </row>
    <row r="12" spans="1:78" ht="18.75" customHeight="1" x14ac:dyDescent="0.25">
      <c r="B12" s="162" t="s">
        <v>480</v>
      </c>
      <c r="C12" s="162"/>
      <c r="D12" s="162"/>
      <c r="E12" s="162"/>
      <c r="F12" s="162"/>
      <c r="G12" s="162"/>
      <c r="H12" s="162"/>
      <c r="I12" s="162"/>
      <c r="J12" s="328" t="str">
        <f ca="1">IF(OR(ISBLANK($H$5),H10="--Select--"),"",OFFSET(Lists!$AI$1,MATCH(H11,Lists!$AA$2:$AA$4,FALSE),MATCH($H$5,Lists!$AJ$1:$BA$1,1)))</f>
        <v/>
      </c>
      <c r="K12" s="328"/>
      <c r="L12" s="328"/>
      <c r="M12" s="328"/>
      <c r="N12" s="328"/>
      <c r="O12" s="328"/>
      <c r="P12" s="328"/>
      <c r="Q12" s="328"/>
      <c r="R12" s="328"/>
      <c r="S12" s="328"/>
      <c r="T12" s="328"/>
      <c r="U12" s="328"/>
      <c r="V12" s="328"/>
      <c r="W12" s="328"/>
      <c r="X12" s="328"/>
      <c r="Y12" s="328"/>
      <c r="Z12" s="328"/>
      <c r="AA12" s="328"/>
    </row>
    <row r="13" spans="1:78" ht="18.75" customHeight="1" thickBot="1" x14ac:dyDescent="0.3">
      <c r="B13" s="2"/>
      <c r="C13" s="2"/>
      <c r="D13" s="2"/>
      <c r="E13" s="2"/>
      <c r="F13" s="2"/>
      <c r="G13" s="2"/>
      <c r="H13" s="2"/>
      <c r="I13" s="2"/>
    </row>
    <row r="14" spans="1:78" ht="18.75" customHeight="1" x14ac:dyDescent="0.25">
      <c r="E14" s="2"/>
      <c r="G14" s="2"/>
      <c r="H14" s="2"/>
      <c r="I14" s="2"/>
      <c r="S14" s="309" t="s">
        <v>22</v>
      </c>
      <c r="T14" s="310"/>
      <c r="U14" s="310"/>
      <c r="V14" s="311"/>
      <c r="X14" s="309" t="s">
        <v>30</v>
      </c>
      <c r="Y14" s="310"/>
      <c r="Z14" s="310"/>
      <c r="AA14" s="311"/>
    </row>
    <row r="15" spans="1:78" ht="18.75" customHeight="1" thickBot="1" x14ac:dyDescent="0.3">
      <c r="C15" s="2"/>
      <c r="D15" s="2"/>
      <c r="E15" s="2"/>
      <c r="F15" s="2"/>
      <c r="G15" s="2"/>
      <c r="H15" s="2"/>
      <c r="I15" s="2"/>
      <c r="J15" s="2"/>
      <c r="S15" s="312"/>
      <c r="T15" s="313"/>
      <c r="U15" s="313"/>
      <c r="V15" s="314"/>
      <c r="X15" s="312"/>
      <c r="Y15" s="313"/>
      <c r="Z15" s="313"/>
      <c r="AA15" s="314"/>
    </row>
    <row r="16" spans="1:78" s="119" customFormat="1" ht="18.75" customHeight="1" x14ac:dyDescent="0.3">
      <c r="B16" s="390" t="s">
        <v>690</v>
      </c>
      <c r="C16" s="391"/>
      <c r="D16" s="391"/>
      <c r="E16" s="391"/>
      <c r="F16" s="391"/>
      <c r="G16" s="391"/>
      <c r="H16" s="391"/>
      <c r="I16" s="391"/>
      <c r="J16" s="391"/>
      <c r="K16" s="391"/>
      <c r="L16" s="391"/>
      <c r="M16" s="391"/>
      <c r="N16" s="391"/>
      <c r="O16" s="391"/>
      <c r="P16" s="391"/>
      <c r="Q16" s="392"/>
      <c r="S16" s="393"/>
      <c r="T16" s="394"/>
      <c r="U16" s="394"/>
      <c r="V16" s="395"/>
      <c r="X16" s="396">
        <v>1</v>
      </c>
      <c r="Y16" s="397"/>
      <c r="Z16" s="397"/>
      <c r="AA16" s="398"/>
    </row>
    <row r="17" spans="2:58" ht="18.75" customHeight="1" x14ac:dyDescent="0.25">
      <c r="B17" s="256" t="s">
        <v>676</v>
      </c>
      <c r="C17" s="256"/>
      <c r="D17" s="256"/>
      <c r="E17" s="256"/>
      <c r="F17" s="256"/>
      <c r="G17" s="256"/>
      <c r="H17" s="256"/>
      <c r="I17" s="256"/>
      <c r="J17" s="256"/>
      <c r="K17" s="256"/>
      <c r="L17" s="256"/>
      <c r="M17" s="256"/>
      <c r="N17" s="256"/>
      <c r="O17" s="256"/>
      <c r="P17" s="256"/>
      <c r="Q17" s="256"/>
      <c r="S17" s="400"/>
      <c r="T17" s="400"/>
      <c r="U17" s="400"/>
      <c r="V17" s="400"/>
      <c r="W17" s="33"/>
      <c r="X17" s="400"/>
      <c r="Y17" s="400"/>
      <c r="Z17" s="400"/>
      <c r="AA17" s="400"/>
      <c r="AC17" s="2"/>
      <c r="AL17" s="2"/>
      <c r="AM17" s="2"/>
      <c r="AN17" s="2"/>
    </row>
    <row r="18" spans="2:58" ht="18.75" customHeight="1" x14ac:dyDescent="0.25">
      <c r="B18" s="256" t="s">
        <v>674</v>
      </c>
      <c r="C18" s="256"/>
      <c r="D18" s="256"/>
      <c r="E18" s="256"/>
      <c r="F18" s="256"/>
      <c r="G18" s="256"/>
      <c r="H18" s="256"/>
      <c r="I18" s="256"/>
      <c r="J18" s="256"/>
      <c r="K18" s="256"/>
      <c r="L18" s="256"/>
      <c r="M18" s="256"/>
      <c r="N18" s="256"/>
      <c r="O18" s="256"/>
      <c r="P18" s="256"/>
      <c r="Q18" s="256"/>
      <c r="S18" s="400"/>
      <c r="T18" s="400"/>
      <c r="U18" s="400"/>
      <c r="V18" s="400"/>
      <c r="W18" s="33"/>
      <c r="X18" s="407">
        <f>S18</f>
        <v>0</v>
      </c>
      <c r="Y18" s="408"/>
      <c r="Z18" s="408"/>
      <c r="AA18" s="409"/>
      <c r="AC18" s="343" t="s">
        <v>670</v>
      </c>
      <c r="AD18" s="344"/>
      <c r="AE18" s="344"/>
      <c r="AF18" s="344"/>
      <c r="AG18" s="344"/>
      <c r="AH18" s="344"/>
      <c r="AI18" s="344"/>
      <c r="AJ18" s="344"/>
      <c r="AK18" s="344"/>
      <c r="AL18" s="345"/>
      <c r="AM18" s="2"/>
      <c r="AN18" s="2"/>
    </row>
    <row r="19" spans="2:58" ht="18.75" customHeight="1" x14ac:dyDescent="0.25">
      <c r="B19" s="256" t="s">
        <v>675</v>
      </c>
      <c r="C19" s="256"/>
      <c r="D19" s="256"/>
      <c r="E19" s="256"/>
      <c r="F19" s="256"/>
      <c r="G19" s="256"/>
      <c r="H19" s="256"/>
      <c r="I19" s="256"/>
      <c r="J19" s="256"/>
      <c r="K19" s="256"/>
      <c r="L19" s="256"/>
      <c r="M19" s="256"/>
      <c r="N19" s="256"/>
      <c r="O19" s="256"/>
      <c r="P19" s="256"/>
      <c r="Q19" s="256"/>
      <c r="S19" s="400"/>
      <c r="T19" s="400"/>
      <c r="U19" s="400"/>
      <c r="V19" s="400"/>
      <c r="W19" s="33"/>
      <c r="X19" s="407">
        <f>S19</f>
        <v>0</v>
      </c>
      <c r="Y19" s="408"/>
      <c r="Z19" s="408"/>
      <c r="AA19" s="409"/>
      <c r="AC19" s="346"/>
      <c r="AD19" s="347"/>
      <c r="AE19" s="347"/>
      <c r="AF19" s="347"/>
      <c r="AG19" s="347"/>
      <c r="AH19" s="347"/>
      <c r="AI19" s="347"/>
      <c r="AJ19" s="347"/>
      <c r="AK19" s="347"/>
      <c r="AL19" s="348"/>
      <c r="AM19" s="2"/>
      <c r="AN19" s="2"/>
    </row>
    <row r="20" spans="2:58" ht="18.75" customHeight="1" x14ac:dyDescent="0.25">
      <c r="B20" s="256" t="s">
        <v>49</v>
      </c>
      <c r="C20" s="256"/>
      <c r="D20" s="256"/>
      <c r="E20" s="256"/>
      <c r="F20" s="256"/>
      <c r="G20" s="256"/>
      <c r="H20" s="256"/>
      <c r="I20" s="256"/>
      <c r="J20" s="256"/>
      <c r="K20" s="256"/>
      <c r="L20" s="256"/>
      <c r="M20" s="256"/>
      <c r="N20" s="256"/>
      <c r="O20" s="256"/>
      <c r="P20" s="256"/>
      <c r="Q20" s="256"/>
      <c r="S20" s="417" t="str">
        <f>IFERROR($S$19/$S$18,"")</f>
        <v/>
      </c>
      <c r="T20" s="418"/>
      <c r="U20" s="418"/>
      <c r="V20" s="419"/>
      <c r="W20" s="33"/>
      <c r="X20" s="414" t="str">
        <f>IFERROR($X$19/$X$18,"")</f>
        <v/>
      </c>
      <c r="Y20" s="415"/>
      <c r="Z20" s="415"/>
      <c r="AA20" s="416"/>
      <c r="AC20" s="349"/>
      <c r="AD20" s="350"/>
      <c r="AE20" s="350"/>
      <c r="AF20" s="350"/>
      <c r="AG20" s="350"/>
      <c r="AH20" s="350"/>
      <c r="AI20" s="350"/>
      <c r="AJ20" s="350"/>
      <c r="AK20" s="350"/>
      <c r="AL20" s="351"/>
      <c r="AM20" s="66"/>
      <c r="AN20" s="66"/>
      <c r="AO20" s="66"/>
      <c r="AP20" s="66"/>
      <c r="AQ20" s="66"/>
      <c r="AR20" s="66"/>
      <c r="AS20" s="66"/>
      <c r="AT20" s="66"/>
      <c r="AU20" s="66"/>
      <c r="AV20" s="66"/>
      <c r="AW20" s="66"/>
      <c r="AX20" s="66"/>
      <c r="AY20" s="66"/>
      <c r="AZ20" s="66"/>
      <c r="BA20" s="66"/>
      <c r="BB20" s="66"/>
      <c r="BC20" s="66"/>
      <c r="BD20" s="66"/>
      <c r="BE20" s="66"/>
      <c r="BF20" s="66"/>
    </row>
    <row r="21" spans="2:58" ht="18.75" customHeight="1" x14ac:dyDescent="0.25">
      <c r="B21" s="2"/>
      <c r="C21" s="2"/>
      <c r="D21" s="2"/>
      <c r="S21" s="32"/>
      <c r="T21" s="32"/>
      <c r="U21" s="32"/>
      <c r="V21" s="32"/>
      <c r="W21" s="32"/>
      <c r="X21" s="2"/>
      <c r="Y21" s="2"/>
      <c r="AC21" s="2"/>
      <c r="AE21" s="17"/>
      <c r="AI21" s="2"/>
      <c r="AL21" s="2"/>
      <c r="AM21" s="2"/>
      <c r="AN21" s="2"/>
      <c r="AT21" s="2"/>
    </row>
    <row r="22" spans="2:58" ht="18.75" customHeight="1" x14ac:dyDescent="0.25">
      <c r="B22" s="256" t="s">
        <v>470</v>
      </c>
      <c r="C22" s="256"/>
      <c r="D22" s="256"/>
      <c r="E22" s="256"/>
      <c r="F22" s="256"/>
      <c r="G22" s="256"/>
      <c r="H22" s="256"/>
      <c r="I22" s="256"/>
      <c r="J22" s="256"/>
      <c r="K22" s="256"/>
      <c r="L22" s="256"/>
      <c r="M22" s="256"/>
      <c r="N22" s="256"/>
      <c r="O22" s="256"/>
      <c r="P22" s="256"/>
      <c r="Q22" s="256"/>
      <c r="S22" s="417" t="str">
        <f>IFERROR($S$20^2*0.85+$S$20*0.15,"")</f>
        <v/>
      </c>
      <c r="T22" s="418"/>
      <c r="U22" s="418"/>
      <c r="V22" s="419"/>
      <c r="W22" s="33"/>
      <c r="X22" s="414" t="str">
        <f>IFERROR(0.85*X20^2+0.15*X20,"")</f>
        <v/>
      </c>
      <c r="Y22" s="415"/>
      <c r="Z22" s="415"/>
      <c r="AA22" s="416"/>
      <c r="AC22" s="2"/>
      <c r="AE22" s="17"/>
      <c r="AL22" s="2"/>
      <c r="AM22" s="2"/>
      <c r="AN22" s="2"/>
    </row>
    <row r="23" spans="2:58" ht="18.75" customHeight="1" x14ac:dyDescent="0.25">
      <c r="B23" s="256" t="s">
        <v>50</v>
      </c>
      <c r="C23" s="256"/>
      <c r="D23" s="256"/>
      <c r="E23" s="256"/>
      <c r="F23" s="256"/>
      <c r="G23" s="256"/>
      <c r="H23" s="256"/>
      <c r="I23" s="256"/>
      <c r="J23" s="256"/>
      <c r="K23" s="256"/>
      <c r="L23" s="256"/>
      <c r="M23" s="256"/>
      <c r="N23" s="256"/>
      <c r="O23" s="256"/>
      <c r="P23" s="256"/>
      <c r="Q23" s="256"/>
      <c r="S23" s="400"/>
      <c r="T23" s="400"/>
      <c r="U23" s="400"/>
      <c r="V23" s="400"/>
      <c r="W23" s="33"/>
      <c r="X23" s="407">
        <f>S23</f>
        <v>0</v>
      </c>
      <c r="Y23" s="408"/>
      <c r="Z23" s="408"/>
      <c r="AA23" s="409"/>
      <c r="AC23" s="2"/>
      <c r="AL23" s="2"/>
      <c r="AM23" s="2"/>
      <c r="AN23" s="2"/>
    </row>
    <row r="24" spans="2:58" ht="18.75" customHeight="1" x14ac:dyDescent="0.25">
      <c r="B24" s="2"/>
      <c r="C24" s="2"/>
      <c r="D24" s="2"/>
      <c r="S24" s="32"/>
      <c r="T24" s="32"/>
      <c r="U24" s="32"/>
      <c r="V24" s="32"/>
      <c r="X24" s="2"/>
      <c r="Y24" s="2"/>
      <c r="AC24" s="2"/>
      <c r="AI24" s="2"/>
      <c r="AL24" s="2"/>
      <c r="AM24" s="2"/>
      <c r="AN24" s="2"/>
    </row>
    <row r="25" spans="2:58" ht="18.75" customHeight="1" x14ac:dyDescent="0.25">
      <c r="B25" s="256" t="s">
        <v>678</v>
      </c>
      <c r="C25" s="256"/>
      <c r="D25" s="256"/>
      <c r="E25" s="256"/>
      <c r="F25" s="256"/>
      <c r="G25" s="256"/>
      <c r="H25" s="256"/>
      <c r="I25" s="256"/>
      <c r="J25" s="256"/>
      <c r="K25" s="256"/>
      <c r="L25" s="256"/>
      <c r="M25" s="256"/>
      <c r="N25" s="256"/>
      <c r="O25" s="256"/>
      <c r="P25" s="256"/>
      <c r="Q25" s="256"/>
      <c r="S25" s="255"/>
      <c r="T25" s="255"/>
      <c r="U25" s="255"/>
      <c r="V25" s="255"/>
      <c r="X25" s="255"/>
      <c r="Y25" s="255"/>
      <c r="Z25" s="255"/>
      <c r="AA25" s="255"/>
      <c r="AC25" s="2"/>
    </row>
    <row r="26" spans="2:58" ht="18.75" customHeight="1" x14ac:dyDescent="0.25">
      <c r="B26" s="256" t="s">
        <v>677</v>
      </c>
      <c r="C26" s="256"/>
      <c r="D26" s="256"/>
      <c r="E26" s="256"/>
      <c r="F26" s="256"/>
      <c r="G26" s="256"/>
      <c r="H26" s="256"/>
      <c r="I26" s="256"/>
      <c r="J26" s="256"/>
      <c r="K26" s="256"/>
      <c r="L26" s="256"/>
      <c r="M26" s="256"/>
      <c r="N26" s="256"/>
      <c r="O26" s="256"/>
      <c r="P26" s="256"/>
      <c r="Q26" s="256"/>
      <c r="S26" s="255"/>
      <c r="T26" s="255"/>
      <c r="U26" s="255"/>
      <c r="V26" s="255"/>
      <c r="X26" s="255"/>
      <c r="Y26" s="255"/>
      <c r="Z26" s="255"/>
      <c r="AA26" s="255"/>
      <c r="AC26" s="2"/>
    </row>
    <row r="27" spans="2:58" ht="18.75" customHeight="1" x14ac:dyDescent="0.25">
      <c r="B27" s="2"/>
      <c r="C27" s="2"/>
      <c r="S27" s="32"/>
      <c r="T27" s="32"/>
      <c r="U27" s="32"/>
      <c r="V27" s="32"/>
      <c r="X27" s="8"/>
      <c r="Y27" s="2"/>
      <c r="AC27" s="2"/>
    </row>
    <row r="28" spans="2:58" ht="18.75" customHeight="1" x14ac:dyDescent="0.25">
      <c r="B28" s="256" t="s">
        <v>51</v>
      </c>
      <c r="C28" s="256"/>
      <c r="D28" s="256"/>
      <c r="E28" s="256"/>
      <c r="F28" s="256"/>
      <c r="G28" s="256"/>
      <c r="H28" s="256"/>
      <c r="I28" s="256"/>
      <c r="J28" s="256"/>
      <c r="K28" s="256"/>
      <c r="L28" s="256"/>
      <c r="M28" s="256"/>
      <c r="N28" s="256"/>
      <c r="O28" s="256"/>
      <c r="P28" s="256"/>
      <c r="Q28" s="256"/>
      <c r="S28" s="410" t="s">
        <v>492</v>
      </c>
      <c r="T28" s="410"/>
      <c r="U28" s="410"/>
      <c r="V28" s="410"/>
      <c r="X28" s="410" t="s">
        <v>492</v>
      </c>
      <c r="Y28" s="410"/>
      <c r="Z28" s="410"/>
      <c r="AA28" s="410"/>
      <c r="AC28" s="2"/>
    </row>
    <row r="29" spans="2:58" ht="18.75" customHeight="1" x14ac:dyDescent="0.25">
      <c r="B29" s="2"/>
      <c r="C29" s="2"/>
      <c r="S29" s="32"/>
      <c r="T29" s="32"/>
      <c r="U29" s="32"/>
      <c r="V29" s="32"/>
      <c r="X29" s="2"/>
      <c r="Y29" s="2"/>
      <c r="AC29" s="2"/>
    </row>
    <row r="30" spans="2:58" ht="18.75" customHeight="1" x14ac:dyDescent="0.25">
      <c r="B30" s="256" t="s">
        <v>438</v>
      </c>
      <c r="C30" s="256"/>
      <c r="D30" s="256"/>
      <c r="E30" s="256"/>
      <c r="F30" s="256"/>
      <c r="G30" s="256"/>
      <c r="H30" s="256"/>
      <c r="I30" s="256"/>
      <c r="J30" s="256"/>
      <c r="K30" s="256"/>
      <c r="L30" s="256"/>
      <c r="M30" s="256"/>
      <c r="N30" s="256"/>
      <c r="O30" s="256"/>
      <c r="P30" s="256"/>
      <c r="Q30" s="256"/>
      <c r="S30" s="401" t="str">
        <f>IFERROR($S$26*($S$18/$S$17)^2,"")</f>
        <v/>
      </c>
      <c r="T30" s="402"/>
      <c r="U30" s="402"/>
      <c r="V30" s="403"/>
      <c r="X30" s="420" t="str">
        <f>IFERROR($X$26*($X$18/X17)^2,"")</f>
        <v/>
      </c>
      <c r="Y30" s="421"/>
      <c r="Z30" s="421"/>
      <c r="AA30" s="422"/>
      <c r="AC30" s="2"/>
    </row>
    <row r="31" spans="2:58" ht="18.75" customHeight="1" x14ac:dyDescent="0.25">
      <c r="B31" s="256" t="s">
        <v>439</v>
      </c>
      <c r="C31" s="256"/>
      <c r="D31" s="256"/>
      <c r="E31" s="256"/>
      <c r="F31" s="256"/>
      <c r="G31" s="256"/>
      <c r="H31" s="256"/>
      <c r="I31" s="256"/>
      <c r="J31" s="256"/>
      <c r="K31" s="256"/>
      <c r="L31" s="256"/>
      <c r="M31" s="256"/>
      <c r="N31" s="256"/>
      <c r="O31" s="256"/>
      <c r="P31" s="256"/>
      <c r="Q31" s="256"/>
      <c r="S31" s="404">
        <f>IFERROR($S$25*$S$23,"")</f>
        <v>0</v>
      </c>
      <c r="T31" s="405"/>
      <c r="U31" s="405"/>
      <c r="V31" s="406"/>
      <c r="X31" s="423">
        <f>IFERROR($X$25*$X$23,"")</f>
        <v>0</v>
      </c>
      <c r="Y31" s="424"/>
      <c r="Z31" s="424"/>
      <c r="AA31" s="425"/>
      <c r="AC31" s="2"/>
    </row>
    <row r="32" spans="2:58" ht="18.75" customHeight="1" x14ac:dyDescent="0.25">
      <c r="B32" s="256" t="s">
        <v>440</v>
      </c>
      <c r="C32" s="256"/>
      <c r="D32" s="256"/>
      <c r="E32" s="256"/>
      <c r="F32" s="256"/>
      <c r="G32" s="256"/>
      <c r="H32" s="256"/>
      <c r="I32" s="256"/>
      <c r="J32" s="256"/>
      <c r="K32" s="256"/>
      <c r="L32" s="256"/>
      <c r="M32" s="256"/>
      <c r="N32" s="256"/>
      <c r="O32" s="256"/>
      <c r="P32" s="256"/>
      <c r="Q32" s="256"/>
      <c r="S32" s="404" t="str">
        <f>IFERROR($S$30*$S$22*$S$23,"")</f>
        <v/>
      </c>
      <c r="T32" s="405"/>
      <c r="U32" s="405"/>
      <c r="V32" s="406"/>
      <c r="X32" s="423" t="str">
        <f>IFERROR($X$30*$X$22*$X$23,"")</f>
        <v/>
      </c>
      <c r="Y32" s="424"/>
      <c r="Z32" s="424"/>
      <c r="AA32" s="425"/>
      <c r="AC32" s="2"/>
    </row>
    <row r="33" spans="2:38" ht="18.75" customHeight="1" x14ac:dyDescent="0.25">
      <c r="B33" s="256" t="s">
        <v>699</v>
      </c>
      <c r="C33" s="256"/>
      <c r="D33" s="256"/>
      <c r="E33" s="256"/>
      <c r="F33" s="256"/>
      <c r="G33" s="256"/>
      <c r="H33" s="256"/>
      <c r="I33" s="256"/>
      <c r="J33" s="256"/>
      <c r="K33" s="256"/>
      <c r="L33" s="256"/>
      <c r="M33" s="256"/>
      <c r="N33" s="256"/>
      <c r="O33" s="256"/>
      <c r="P33" s="256"/>
      <c r="Q33" s="256"/>
      <c r="S33" s="404">
        <f>IFERROR(SUM(S31:V32),"")</f>
        <v>0</v>
      </c>
      <c r="T33" s="405"/>
      <c r="U33" s="405"/>
      <c r="V33" s="406"/>
      <c r="X33" s="423">
        <f>SUM(X31:AA32)</f>
        <v>0</v>
      </c>
      <c r="Y33" s="424"/>
      <c r="Z33" s="424"/>
      <c r="AA33" s="425"/>
    </row>
    <row r="34" spans="2:38" s="119" customFormat="1" ht="18.75" customHeight="1" thickBot="1" x14ac:dyDescent="0.3"/>
    <row r="35" spans="2:38" ht="18.75" customHeight="1" thickBot="1" x14ac:dyDescent="0.3">
      <c r="B35" s="280" t="s">
        <v>700</v>
      </c>
      <c r="C35" s="281"/>
      <c r="D35" s="281"/>
      <c r="E35" s="281"/>
      <c r="F35" s="281"/>
      <c r="G35" s="281"/>
      <c r="H35" s="281"/>
      <c r="I35" s="281"/>
      <c r="J35" s="281"/>
      <c r="K35" s="281"/>
      <c r="L35" s="281"/>
      <c r="M35" s="281"/>
      <c r="N35" s="281"/>
      <c r="O35" s="281"/>
      <c r="P35" s="281"/>
      <c r="Q35" s="282"/>
      <c r="R35" s="119"/>
      <c r="S35" s="283">
        <f>IFERROR(($S$33-$X$33),"")</f>
        <v>0</v>
      </c>
      <c r="T35" s="284"/>
      <c r="U35" s="284"/>
      <c r="V35" s="284"/>
      <c r="W35" s="284"/>
      <c r="X35" s="284"/>
      <c r="Y35" s="284"/>
      <c r="Z35" s="284"/>
      <c r="AA35" s="285"/>
    </row>
    <row r="36" spans="2:38" ht="18.75" customHeight="1" thickBot="1" x14ac:dyDescent="0.3">
      <c r="B36" s="280" t="s">
        <v>485</v>
      </c>
      <c r="C36" s="281"/>
      <c r="D36" s="281"/>
      <c r="E36" s="281"/>
      <c r="F36" s="281"/>
      <c r="G36" s="281"/>
      <c r="H36" s="281"/>
      <c r="I36" s="281"/>
      <c r="J36" s="281"/>
      <c r="K36" s="281"/>
      <c r="L36" s="281"/>
      <c r="M36" s="281"/>
      <c r="N36" s="281"/>
      <c r="O36" s="281"/>
      <c r="P36" s="281"/>
      <c r="Q36" s="282"/>
      <c r="S36" s="283">
        <f>IFERROR(($S$33-$X$33)*$X$16,"")</f>
        <v>0</v>
      </c>
      <c r="T36" s="284"/>
      <c r="U36" s="284"/>
      <c r="V36" s="284"/>
      <c r="W36" s="284"/>
      <c r="X36" s="284"/>
      <c r="Y36" s="284"/>
      <c r="Z36" s="284"/>
      <c r="AA36" s="285"/>
      <c r="AC36" s="373" t="s">
        <v>487</v>
      </c>
      <c r="AD36" s="374"/>
      <c r="AE36" s="374"/>
      <c r="AF36" s="375"/>
      <c r="AL36" s="5"/>
    </row>
    <row r="37" spans="2:38" ht="18.75" customHeight="1" thickBot="1" x14ac:dyDescent="0.3">
      <c r="B37" s="280" t="s">
        <v>486</v>
      </c>
      <c r="C37" s="281"/>
      <c r="D37" s="281"/>
      <c r="E37" s="281"/>
      <c r="F37" s="281"/>
      <c r="G37" s="281"/>
      <c r="H37" s="281"/>
      <c r="I37" s="281"/>
      <c r="J37" s="281"/>
      <c r="K37" s="281"/>
      <c r="L37" s="281"/>
      <c r="M37" s="281"/>
      <c r="N37" s="281"/>
      <c r="O37" s="281"/>
      <c r="P37" s="281"/>
      <c r="Q37" s="282"/>
      <c r="S37" s="283">
        <f>IFERROR(S36*AC37,"")</f>
        <v>0</v>
      </c>
      <c r="T37" s="284"/>
      <c r="U37" s="284"/>
      <c r="V37" s="284"/>
      <c r="W37" s="284"/>
      <c r="X37" s="284"/>
      <c r="Y37" s="284"/>
      <c r="Z37" s="284"/>
      <c r="AA37" s="285"/>
      <c r="AC37" s="376">
        <v>1.09056</v>
      </c>
      <c r="AD37" s="377"/>
      <c r="AE37" s="377"/>
      <c r="AF37" s="378"/>
      <c r="AL37" s="5"/>
    </row>
    <row r="38" spans="2:38" s="119" customFormat="1" ht="18.75" customHeight="1" thickBot="1" x14ac:dyDescent="0.3"/>
    <row r="39" spans="2:38" ht="18.75" customHeight="1" thickBot="1" x14ac:dyDescent="0.3">
      <c r="B39" s="287" t="s">
        <v>701</v>
      </c>
      <c r="C39" s="288"/>
      <c r="D39" s="288"/>
      <c r="E39" s="288"/>
      <c r="F39" s="288"/>
      <c r="G39" s="288"/>
      <c r="H39" s="288"/>
      <c r="I39" s="288"/>
      <c r="J39" s="288"/>
      <c r="K39" s="288"/>
      <c r="L39" s="288"/>
      <c r="M39" s="288"/>
      <c r="N39" s="288"/>
      <c r="O39" s="288"/>
      <c r="P39" s="288"/>
      <c r="Q39" s="289"/>
      <c r="R39" s="119"/>
      <c r="S39" s="252"/>
      <c r="T39" s="253"/>
      <c r="U39" s="253"/>
      <c r="V39" s="253"/>
      <c r="W39" s="253"/>
      <c r="X39" s="253"/>
      <c r="Y39" s="253"/>
      <c r="Z39" s="253"/>
      <c r="AA39" s="254"/>
    </row>
    <row r="40" spans="2:38" ht="18.75" customHeight="1" thickBot="1" x14ac:dyDescent="0.3">
      <c r="B40" s="287" t="s">
        <v>539</v>
      </c>
      <c r="C40" s="288"/>
      <c r="D40" s="288"/>
      <c r="E40" s="288"/>
      <c r="F40" s="288"/>
      <c r="G40" s="288"/>
      <c r="H40" s="288"/>
      <c r="I40" s="288"/>
      <c r="J40" s="288"/>
      <c r="K40" s="288"/>
      <c r="L40" s="288"/>
      <c r="M40" s="288"/>
      <c r="N40" s="288"/>
      <c r="O40" s="288"/>
      <c r="P40" s="288"/>
      <c r="Q40" s="289"/>
      <c r="S40" s="437">
        <f>$S$39*$X$16</f>
        <v>0</v>
      </c>
      <c r="T40" s="438"/>
      <c r="U40" s="438"/>
      <c r="V40" s="438"/>
      <c r="W40" s="438"/>
      <c r="X40" s="438"/>
      <c r="Y40" s="438"/>
      <c r="Z40" s="438"/>
      <c r="AA40" s="439"/>
    </row>
    <row r="42" spans="2:38" ht="18.75" customHeight="1" x14ac:dyDescent="0.25">
      <c r="B42" s="5" t="s">
        <v>515</v>
      </c>
    </row>
    <row r="43" spans="2:38" ht="18.75" customHeight="1" x14ac:dyDescent="0.25">
      <c r="B43" t="s">
        <v>493</v>
      </c>
      <c r="C43" s="5"/>
      <c r="D43" s="2"/>
    </row>
    <row r="44" spans="2:38" ht="18.75" customHeight="1" thickBot="1" x14ac:dyDescent="0.3">
      <c r="B44" s="69" t="s">
        <v>479</v>
      </c>
      <c r="C44" s="70"/>
      <c r="D44" s="70"/>
      <c r="E44" s="70"/>
      <c r="F44" s="70"/>
      <c r="G44" s="70"/>
      <c r="H44" s="70"/>
      <c r="I44" s="70"/>
      <c r="J44" s="70"/>
      <c r="K44" s="70"/>
      <c r="L44" s="70"/>
      <c r="M44" s="70"/>
      <c r="N44" s="74"/>
      <c r="O44" s="70"/>
      <c r="P44" s="70"/>
      <c r="Q44" s="70"/>
      <c r="R44" s="70"/>
      <c r="S44" s="248" t="s">
        <v>476</v>
      </c>
      <c r="T44" s="248"/>
      <c r="U44" s="248"/>
      <c r="V44" s="249"/>
    </row>
    <row r="45" spans="2:38" ht="18.75" customHeight="1" x14ac:dyDescent="0.25">
      <c r="B45" s="71" t="s">
        <v>475</v>
      </c>
      <c r="C45" s="72"/>
      <c r="D45" s="72"/>
      <c r="E45" s="72"/>
      <c r="F45" s="72"/>
      <c r="G45" s="72"/>
      <c r="H45" s="72"/>
      <c r="I45" s="72"/>
      <c r="J45" s="72"/>
      <c r="K45" s="72"/>
      <c r="L45" s="72"/>
      <c r="M45" s="72"/>
      <c r="N45" s="72"/>
      <c r="O45" s="72"/>
      <c r="P45" s="72"/>
      <c r="Q45" s="72"/>
      <c r="R45" s="72"/>
      <c r="S45" s="250"/>
      <c r="T45" s="250"/>
      <c r="U45" s="250"/>
      <c r="V45" s="251"/>
    </row>
    <row r="46" spans="2:38" ht="18.75" customHeight="1" x14ac:dyDescent="0.25">
      <c r="B46" s="71" t="s">
        <v>477</v>
      </c>
      <c r="C46" s="72"/>
      <c r="D46" s="72"/>
      <c r="E46" s="72"/>
      <c r="F46" s="72"/>
      <c r="G46" s="72"/>
      <c r="H46" s="72"/>
      <c r="I46" s="72"/>
      <c r="J46" s="72"/>
      <c r="K46" s="72"/>
      <c r="L46" s="72"/>
      <c r="M46" s="72"/>
      <c r="N46" s="72"/>
      <c r="O46" s="72"/>
      <c r="P46" s="72"/>
      <c r="Q46" s="72"/>
      <c r="R46" s="72"/>
      <c r="S46" s="250"/>
      <c r="T46" s="250"/>
      <c r="U46" s="250"/>
      <c r="V46" s="251"/>
    </row>
    <row r="47" spans="2:38" ht="18.75" customHeight="1" thickBot="1" x14ac:dyDescent="0.3">
      <c r="B47" s="71" t="s">
        <v>473</v>
      </c>
      <c r="C47" s="72"/>
      <c r="D47" s="72"/>
      <c r="E47" s="72"/>
      <c r="F47" s="72"/>
      <c r="G47" s="72"/>
      <c r="H47" s="72"/>
      <c r="I47" s="72"/>
      <c r="J47" s="72"/>
      <c r="K47" s="72"/>
      <c r="L47" s="72"/>
      <c r="M47" s="72"/>
      <c r="N47" s="72"/>
      <c r="O47" s="72"/>
      <c r="P47" s="72"/>
      <c r="Q47" s="72"/>
      <c r="R47" s="72"/>
      <c r="S47" s="250"/>
      <c r="T47" s="250"/>
      <c r="U47" s="250"/>
      <c r="V47" s="251"/>
      <c r="X47" s="32"/>
    </row>
    <row r="48" spans="2:38" ht="18.75" customHeight="1" thickBot="1" x14ac:dyDescent="0.3">
      <c r="B48" s="73" t="s">
        <v>478</v>
      </c>
      <c r="C48" s="72"/>
      <c r="D48" s="72"/>
      <c r="E48" s="72"/>
      <c r="F48" s="72"/>
      <c r="G48" s="72"/>
      <c r="H48" s="72"/>
      <c r="I48" s="72"/>
      <c r="J48" s="72"/>
      <c r="K48" s="72"/>
      <c r="L48" s="72"/>
      <c r="M48" s="72"/>
      <c r="N48" s="72"/>
      <c r="O48" s="72"/>
      <c r="P48" s="72"/>
      <c r="Q48" s="72"/>
      <c r="R48" s="72"/>
      <c r="S48" s="250"/>
      <c r="T48" s="250"/>
      <c r="U48" s="250"/>
      <c r="V48" s="251"/>
      <c r="X48" s="63"/>
      <c r="AC48" s="63"/>
      <c r="AH48" s="63"/>
    </row>
    <row r="49" spans="1:27" ht="18.75" customHeight="1" x14ac:dyDescent="0.25">
      <c r="B49" s="71" t="s">
        <v>474</v>
      </c>
      <c r="C49" s="72"/>
      <c r="D49" s="72"/>
      <c r="E49" s="72"/>
      <c r="F49" s="72"/>
      <c r="G49" s="72"/>
      <c r="H49" s="72"/>
      <c r="I49" s="72"/>
      <c r="J49" s="72"/>
      <c r="K49" s="72"/>
      <c r="L49" s="72"/>
      <c r="M49" s="72"/>
      <c r="N49" s="72"/>
      <c r="O49" s="72"/>
      <c r="P49" s="72"/>
      <c r="Q49" s="72"/>
      <c r="R49" s="72"/>
      <c r="S49" s="250"/>
      <c r="T49" s="250"/>
      <c r="U49" s="250"/>
      <c r="V49" s="251"/>
    </row>
    <row r="50" spans="1:27" ht="18.75" customHeight="1" x14ac:dyDescent="0.25">
      <c r="B50" s="71" t="s">
        <v>488</v>
      </c>
      <c r="C50" s="72"/>
      <c r="D50" s="72"/>
      <c r="E50" s="72"/>
      <c r="F50" s="72"/>
      <c r="G50" s="72"/>
      <c r="H50" s="72"/>
      <c r="I50" s="72"/>
      <c r="J50" s="72"/>
      <c r="K50" s="72"/>
      <c r="L50" s="72"/>
      <c r="M50" s="72"/>
      <c r="N50" s="72"/>
      <c r="O50" s="72"/>
      <c r="P50" s="72"/>
      <c r="Q50" s="72"/>
      <c r="R50" s="72"/>
      <c r="S50" s="250"/>
      <c r="T50" s="250"/>
      <c r="U50" s="250"/>
      <c r="V50" s="251"/>
    </row>
    <row r="51" spans="1:27" ht="18.75" customHeight="1" x14ac:dyDescent="0.25">
      <c r="B51" s="73" t="s">
        <v>489</v>
      </c>
      <c r="C51" s="72"/>
      <c r="D51" s="72"/>
      <c r="E51" s="72"/>
      <c r="F51" s="72"/>
      <c r="G51" s="72"/>
      <c r="H51" s="72"/>
      <c r="I51" s="72"/>
      <c r="J51" s="72"/>
      <c r="K51" s="72"/>
      <c r="L51" s="72"/>
      <c r="M51" s="72"/>
      <c r="N51" s="72"/>
      <c r="O51" s="72"/>
      <c r="P51" s="72"/>
      <c r="Q51" s="72"/>
      <c r="R51" s="72"/>
      <c r="S51" s="250"/>
      <c r="T51" s="250"/>
      <c r="U51" s="250"/>
      <c r="V51" s="251"/>
    </row>
    <row r="52" spans="1:27" ht="18.75" customHeight="1" x14ac:dyDescent="0.25">
      <c r="B52" s="75" t="s">
        <v>490</v>
      </c>
      <c r="C52" s="62"/>
      <c r="D52" s="62"/>
      <c r="E52" s="62"/>
      <c r="F52" s="62"/>
      <c r="G52" s="62"/>
      <c r="H52" s="62"/>
      <c r="I52" s="62"/>
      <c r="J52" s="62"/>
      <c r="K52" s="62"/>
      <c r="L52" s="62"/>
      <c r="M52" s="62"/>
      <c r="N52" s="62"/>
      <c r="O52" s="62"/>
      <c r="P52" s="62"/>
      <c r="Q52" s="62"/>
      <c r="R52" s="62"/>
      <c r="S52" s="62"/>
      <c r="T52" s="62"/>
      <c r="U52" s="62"/>
      <c r="V52" s="76"/>
    </row>
    <row r="53" spans="1:27" ht="18.75" customHeight="1" thickBot="1" x14ac:dyDescent="0.3">
      <c r="B53" s="146" t="s">
        <v>689</v>
      </c>
    </row>
    <row r="54" spans="1:27" ht="18.75" customHeight="1" thickBot="1" x14ac:dyDescent="0.3">
      <c r="B54" s="287" t="s">
        <v>410</v>
      </c>
      <c r="C54" s="288"/>
      <c r="D54" s="288"/>
      <c r="E54" s="288"/>
      <c r="F54" s="288"/>
      <c r="G54" s="288"/>
      <c r="H54" s="288"/>
      <c r="I54" s="288"/>
      <c r="J54" s="288"/>
      <c r="K54" s="288"/>
      <c r="L54" s="288"/>
      <c r="M54" s="288"/>
      <c r="N54" s="288"/>
      <c r="O54" s="288"/>
      <c r="P54" s="288"/>
      <c r="Q54" s="289"/>
      <c r="S54" s="277" t="str">
        <f ca="1">IFERROR(IF(S40&lt;0,0,IF(S37*J12&lt;(0.7*$S$40),S37*J12,0.7*$S$40)),"")</f>
        <v/>
      </c>
      <c r="T54" s="278"/>
      <c r="U54" s="278"/>
      <c r="V54" s="278"/>
      <c r="W54" s="278"/>
      <c r="X54" s="278"/>
      <c r="Y54" s="278"/>
      <c r="Z54" s="278"/>
      <c r="AA54" s="279"/>
    </row>
    <row r="55" spans="1:27" ht="18.75" customHeight="1" thickBot="1" x14ac:dyDescent="0.3">
      <c r="B55" s="287" t="s">
        <v>411</v>
      </c>
      <c r="C55" s="288"/>
      <c r="D55" s="288"/>
      <c r="E55" s="288"/>
      <c r="F55" s="288"/>
      <c r="G55" s="288"/>
      <c r="H55" s="288"/>
      <c r="I55" s="288"/>
      <c r="J55" s="288"/>
      <c r="K55" s="288"/>
      <c r="L55" s="288"/>
      <c r="M55" s="288"/>
      <c r="N55" s="288"/>
      <c r="O55" s="288"/>
      <c r="P55" s="288"/>
      <c r="Q55" s="289"/>
      <c r="S55" s="277" t="str">
        <f ca="1">IFERROR(S54*Summary!$M$18,"")</f>
        <v/>
      </c>
      <c r="T55" s="278"/>
      <c r="U55" s="278"/>
      <c r="V55" s="278"/>
      <c r="W55" s="278"/>
      <c r="X55" s="278"/>
      <c r="Y55" s="278"/>
      <c r="Z55" s="278"/>
      <c r="AA55" s="279"/>
    </row>
    <row r="56" spans="1:27" ht="18.75" customHeight="1" thickBot="1" x14ac:dyDescent="0.3">
      <c r="B56" s="287" t="s">
        <v>412</v>
      </c>
      <c r="C56" s="288"/>
      <c r="D56" s="288"/>
      <c r="E56" s="288"/>
      <c r="F56" s="288"/>
      <c r="G56" s="288"/>
      <c r="H56" s="288"/>
      <c r="I56" s="288"/>
      <c r="J56" s="288"/>
      <c r="K56" s="288"/>
      <c r="L56" s="288"/>
      <c r="M56" s="288"/>
      <c r="N56" s="288"/>
      <c r="O56" s="288"/>
      <c r="P56" s="288"/>
      <c r="Q56" s="289"/>
      <c r="S56" s="277" t="str">
        <f ca="1">IFERROR(S54*Summary!$M$19,"")</f>
        <v/>
      </c>
      <c r="T56" s="278"/>
      <c r="U56" s="278"/>
      <c r="V56" s="278"/>
      <c r="W56" s="278"/>
      <c r="X56" s="278"/>
      <c r="Y56" s="278"/>
      <c r="Z56" s="278"/>
      <c r="AA56" s="279"/>
    </row>
    <row r="58" spans="1:27" ht="18.75" customHeight="1" x14ac:dyDescent="0.25">
      <c r="A58" s="68" t="s">
        <v>484</v>
      </c>
    </row>
  </sheetData>
  <sheetProtection password="BD7D" sheet="1" scenarios="1"/>
  <mergeCells count="85">
    <mergeCell ref="B35:Q35"/>
    <mergeCell ref="S35:AA35"/>
    <mergeCell ref="B39:Q39"/>
    <mergeCell ref="S39:AA39"/>
    <mergeCell ref="B16:Q16"/>
    <mergeCell ref="S16:V16"/>
    <mergeCell ref="X16:AA16"/>
    <mergeCell ref="B28:Q28"/>
    <mergeCell ref="S28:V28"/>
    <mergeCell ref="X28:AA28"/>
    <mergeCell ref="X32:AA32"/>
    <mergeCell ref="B33:Q33"/>
    <mergeCell ref="S33:V33"/>
    <mergeCell ref="X33:AA33"/>
    <mergeCell ref="B30:Q30"/>
    <mergeCell ref="S30:V30"/>
    <mergeCell ref="AC18:AL20"/>
    <mergeCell ref="B56:Q56"/>
    <mergeCell ref="S56:AA56"/>
    <mergeCell ref="B54:Q54"/>
    <mergeCell ref="S54:AA54"/>
    <mergeCell ref="AC36:AF36"/>
    <mergeCell ref="AC37:AF37"/>
    <mergeCell ref="B55:Q55"/>
    <mergeCell ref="S55:AA55"/>
    <mergeCell ref="S44:V51"/>
    <mergeCell ref="B36:Q36"/>
    <mergeCell ref="S36:AA36"/>
    <mergeCell ref="B37:Q37"/>
    <mergeCell ref="S37:AA37"/>
    <mergeCell ref="B32:Q32"/>
    <mergeCell ref="S32:V32"/>
    <mergeCell ref="X30:AA30"/>
    <mergeCell ref="B31:Q31"/>
    <mergeCell ref="S31:V31"/>
    <mergeCell ref="X31:AA31"/>
    <mergeCell ref="B25:Q25"/>
    <mergeCell ref="S25:V25"/>
    <mergeCell ref="X25:AA25"/>
    <mergeCell ref="B26:Q26"/>
    <mergeCell ref="S26:V26"/>
    <mergeCell ref="X26:AA26"/>
    <mergeCell ref="B22:Q22"/>
    <mergeCell ref="S22:V22"/>
    <mergeCell ref="X22:AA22"/>
    <mergeCell ref="B23:Q23"/>
    <mergeCell ref="S23:V23"/>
    <mergeCell ref="X23:AA23"/>
    <mergeCell ref="X18:AA18"/>
    <mergeCell ref="B19:Q19"/>
    <mergeCell ref="S19:V19"/>
    <mergeCell ref="X19:AA19"/>
    <mergeCell ref="B20:Q20"/>
    <mergeCell ref="S20:V20"/>
    <mergeCell ref="X20:AA20"/>
    <mergeCell ref="B6:G6"/>
    <mergeCell ref="B7:G7"/>
    <mergeCell ref="S40:AA40"/>
    <mergeCell ref="B40:Q40"/>
    <mergeCell ref="B11:G11"/>
    <mergeCell ref="B8:G8"/>
    <mergeCell ref="B9:G9"/>
    <mergeCell ref="B10:G10"/>
    <mergeCell ref="B12:I12"/>
    <mergeCell ref="S14:V15"/>
    <mergeCell ref="X14:AA15"/>
    <mergeCell ref="B17:Q17"/>
    <mergeCell ref="S17:V17"/>
    <mergeCell ref="X17:AA17"/>
    <mergeCell ref="B18:Q18"/>
    <mergeCell ref="S18:V18"/>
    <mergeCell ref="B5:G5"/>
    <mergeCell ref="AC2:AI2"/>
    <mergeCell ref="AC3:AI3"/>
    <mergeCell ref="AC4:AI4"/>
    <mergeCell ref="B4:G4"/>
    <mergeCell ref="H4:AA4"/>
    <mergeCell ref="H5:AA5"/>
    <mergeCell ref="H11:AA11"/>
    <mergeCell ref="J12:AA12"/>
    <mergeCell ref="H6:AA6"/>
    <mergeCell ref="H7:AA7"/>
    <mergeCell ref="H8:AA8"/>
    <mergeCell ref="H9:AA9"/>
    <mergeCell ref="H10:AA10"/>
  </mergeCells>
  <conditionalFormatting sqref="S17:V17 H6:H8 S39">
    <cfRule type="expression" dxfId="56" priority="935">
      <formula>IF(OR(H6="--Select--",ISBLANK(H6)),TRUE,FALSE)</formula>
    </cfRule>
  </conditionalFormatting>
  <conditionalFormatting sqref="S18:V19">
    <cfRule type="expression" dxfId="55" priority="849">
      <formula>IF(OR(S18="--Select--",ISBLANK(S18)),TRUE,FALSE)</formula>
    </cfRule>
  </conditionalFormatting>
  <conditionalFormatting sqref="X17:AA17">
    <cfRule type="expression" dxfId="54" priority="343">
      <formula>IF(OR(X17="--Select--",ISBLANK(X17)),TRUE,FALSE)</formula>
    </cfRule>
  </conditionalFormatting>
  <conditionalFormatting sqref="S23:V23">
    <cfRule type="expression" dxfId="53" priority="266">
      <formula>IF(OR(S23="--Select--",ISBLANK(S23)),TRUE,FALSE)</formula>
    </cfRule>
  </conditionalFormatting>
  <conditionalFormatting sqref="S25:V26">
    <cfRule type="expression" dxfId="52" priority="30">
      <formula>IF(OR(S25="--Select--",ISBLANK(S25)),TRUE,FALSE)</formula>
    </cfRule>
  </conditionalFormatting>
  <conditionalFormatting sqref="X25:AA26">
    <cfRule type="expression" dxfId="51" priority="29">
      <formula>IF(OR(X25="--Select--",ISBLANK(X25)),TRUE,FALSE)</formula>
    </cfRule>
  </conditionalFormatting>
  <conditionalFormatting sqref="S28:V28">
    <cfRule type="expression" dxfId="50" priority="27">
      <formula>IF(OR(S28="--Select--",ISBLANK(S28)),TRUE,FALSE)</formula>
    </cfRule>
  </conditionalFormatting>
  <conditionalFormatting sqref="J12">
    <cfRule type="expression" dxfId="49" priority="26">
      <formula>IF(OR(J12="--Select--",ISBLANK(J12)),TRUE,FALSE)</formula>
    </cfRule>
  </conditionalFormatting>
  <conditionalFormatting sqref="H10">
    <cfRule type="expression" dxfId="48" priority="25">
      <formula>IF(OR(H10="--Select--",ISBLANK(H10)),TRUE,FALSE)</formula>
    </cfRule>
  </conditionalFormatting>
  <conditionalFormatting sqref="X28:AA28">
    <cfRule type="expression" dxfId="47" priority="23">
      <formula>IF(OR(X28="--Select--",ISBLANK(X28)),TRUE,FALSE)</formula>
    </cfRule>
  </conditionalFormatting>
  <conditionalFormatting sqref="H4">
    <cfRule type="expression" dxfId="46" priority="22">
      <formula>IF(OR(H4="--Select--",ISBLANK(H4)),TRUE,FALSE)</formula>
    </cfRule>
  </conditionalFormatting>
  <conditionalFormatting sqref="H5">
    <cfRule type="expression" dxfId="45" priority="19">
      <formula>IF(OR(H5="--Select--",ISBLANK(H5)),TRUE,FALSE)</formula>
    </cfRule>
  </conditionalFormatting>
  <conditionalFormatting sqref="X18:AA19">
    <cfRule type="expression" dxfId="44" priority="18">
      <formula>IF(OR(X18="--Select--",ISBLANK(X18)),TRUE,FALSE)</formula>
    </cfRule>
  </conditionalFormatting>
  <conditionalFormatting sqref="X23:AA23">
    <cfRule type="expression" dxfId="43" priority="16">
      <formula>IF(OR(X23="--Select--",ISBLANK(X23)),TRUE,FALSE)</formula>
    </cfRule>
  </conditionalFormatting>
  <conditionalFormatting sqref="X23:AA23">
    <cfRule type="expression" dxfId="42" priority="8">
      <formula>IF(OR(X23="--Select--",ISBLANK(X23)),TRUE,FALSE)</formula>
    </cfRule>
  </conditionalFormatting>
  <conditionalFormatting sqref="H9">
    <cfRule type="expression" dxfId="41" priority="6">
      <formula>IF(OR(H9="--Select--",ISBLANK(H9)),TRUE,FALSE)</formula>
    </cfRule>
  </conditionalFormatting>
  <pageMargins left="0.7" right="0.7" top="0.75" bottom="0.75" header="0.3" footer="0.3"/>
  <pageSetup orientation="portrait" r:id="rId1"/>
  <ignoredErrors>
    <ignoredError sqref="X18:AA23" unlockedFormula="1"/>
  </ignoredErrors>
  <extLst>
    <ext xmlns:x14="http://schemas.microsoft.com/office/spreadsheetml/2009/9/main" uri="{78C0D931-6437-407d-A8EE-F0AAD7539E65}">
      <x14:conditionalFormattings>
        <x14:conditionalFormatting xmlns:xm="http://schemas.microsoft.com/office/excel/2006/main">
          <x14:cfRule type="expression" priority="1" id="{60389D66-5F46-4D2A-BCAF-ADE755A61D15}">
            <xm:f>OR(Summary!$P$23="--Select--", Summary!$P$23&lt;4, Summary!$P$12="--Select--",Summary!$P$12="Re-Conductor Only")</xm:f>
            <x14:dxf>
              <fill>
                <patternFill>
                  <bgColor theme="1"/>
                </patternFill>
              </fill>
            </x14:dxf>
          </x14:cfRule>
          <xm:sqref>A1:XFD1048576</xm:sqref>
        </x14:conditionalFormatting>
      </x14:conditionalFormattings>
    </ext>
    <ext xmlns:x14="http://schemas.microsoft.com/office/spreadsheetml/2009/9/main" uri="{CCE6A557-97BC-4b89-ADB6-D9C93CAAB3DF}">
      <x14:dataValidations xmlns:xm="http://schemas.microsoft.com/office/excel/2006/main" count="2">
        <x14:dataValidation type="list" allowBlank="1" showInputMessage="1" showErrorMessage="1">
          <x14:formula1>
            <xm:f>Lists!$L$2:$L$4</xm:f>
          </x14:formula1>
          <xm:sqref>H10</xm:sqref>
        </x14:dataValidation>
        <x14:dataValidation type="list" allowBlank="1" showInputMessage="1" showErrorMessage="1">
          <x14:formula1>
            <xm:f>Lists!$J$2:$J$6</xm:f>
          </x14:formula1>
          <xm:sqref>H9</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Z58"/>
  <sheetViews>
    <sheetView showGridLines="0" zoomScaleNormal="100" workbookViewId="0">
      <selection activeCell="H4" sqref="H4:AA4"/>
    </sheetView>
  </sheetViews>
  <sheetFormatPr defaultColWidth="3.5703125" defaultRowHeight="18.75" customHeight="1" x14ac:dyDescent="0.25"/>
  <sheetData>
    <row r="1" spans="1:78" ht="18.75" customHeight="1" x14ac:dyDescent="0.3">
      <c r="A1" s="95"/>
      <c r="B1" s="94" t="s">
        <v>521</v>
      </c>
      <c r="C1" s="95"/>
      <c r="D1" s="95"/>
      <c r="E1" s="95"/>
      <c r="F1" s="95"/>
      <c r="G1" s="95"/>
      <c r="H1" s="95"/>
      <c r="I1" s="95"/>
      <c r="J1" s="95"/>
      <c r="K1" s="95"/>
      <c r="L1" s="95"/>
      <c r="M1" s="95"/>
      <c r="N1" s="95"/>
      <c r="O1" s="95"/>
      <c r="P1" s="95"/>
      <c r="Q1" s="95"/>
      <c r="R1" s="95"/>
      <c r="S1" s="95"/>
      <c r="T1" s="95"/>
      <c r="U1" s="95"/>
      <c r="V1" s="95"/>
      <c r="W1" s="95"/>
      <c r="X1" s="95"/>
      <c r="Y1" s="95"/>
      <c r="Z1" s="95"/>
      <c r="AA1" s="95"/>
      <c r="AB1" s="95"/>
      <c r="AC1" s="95"/>
      <c r="AD1" s="95"/>
      <c r="AE1" s="95"/>
      <c r="AF1" s="95"/>
      <c r="AG1" s="95"/>
      <c r="AH1" s="95"/>
      <c r="AI1" s="95"/>
      <c r="AJ1" s="95"/>
      <c r="AK1" s="95"/>
      <c r="AL1" s="95"/>
      <c r="AM1" s="95"/>
      <c r="AN1" s="95"/>
      <c r="AO1" s="95"/>
      <c r="AP1" s="95"/>
      <c r="AQ1" s="95"/>
      <c r="AR1" s="95"/>
      <c r="AS1" s="95"/>
      <c r="AT1" s="95"/>
      <c r="AU1" s="95"/>
      <c r="AV1" s="95"/>
      <c r="AW1" s="95"/>
      <c r="AX1" s="95"/>
      <c r="AY1" s="95"/>
      <c r="AZ1" s="95"/>
      <c r="BA1" s="95"/>
      <c r="BB1" s="95"/>
      <c r="BC1" s="95"/>
      <c r="BD1" s="95"/>
      <c r="BE1" s="95"/>
      <c r="BF1" s="95"/>
      <c r="BG1" s="95"/>
      <c r="BH1" s="95"/>
      <c r="BI1" s="95"/>
      <c r="BJ1" s="95"/>
      <c r="BK1" s="95"/>
      <c r="BL1" s="95"/>
      <c r="BM1" s="95"/>
      <c r="BN1" s="95"/>
      <c r="BO1" s="95"/>
      <c r="BP1" s="95"/>
      <c r="BQ1" s="95"/>
      <c r="BR1" s="95"/>
      <c r="BS1" s="95"/>
      <c r="BT1" s="95"/>
      <c r="BU1" s="95"/>
      <c r="BV1" s="95"/>
      <c r="BW1" s="95"/>
      <c r="BX1" s="95"/>
      <c r="BY1" s="95"/>
      <c r="BZ1" s="95"/>
    </row>
    <row r="2" spans="1:78" ht="18.75" customHeight="1" x14ac:dyDescent="0.25">
      <c r="D2" s="2"/>
      <c r="E2" s="2"/>
      <c r="F2" s="2"/>
      <c r="G2" s="2"/>
      <c r="H2" s="2"/>
      <c r="I2" s="2"/>
      <c r="AC2" s="302" t="s">
        <v>391</v>
      </c>
      <c r="AD2" s="302"/>
      <c r="AE2" s="302"/>
      <c r="AF2" s="302"/>
      <c r="AG2" s="302"/>
      <c r="AH2" s="302"/>
      <c r="AI2" s="302"/>
    </row>
    <row r="3" spans="1:78" ht="18.75" customHeight="1" x14ac:dyDescent="0.25">
      <c r="B3" s="2"/>
      <c r="C3" s="2"/>
      <c r="D3" s="2"/>
      <c r="E3" s="2"/>
      <c r="F3" s="2"/>
      <c r="G3" s="2"/>
      <c r="AC3" s="380" t="s">
        <v>392</v>
      </c>
      <c r="AD3" s="380"/>
      <c r="AE3" s="380"/>
      <c r="AF3" s="380"/>
      <c r="AG3" s="380"/>
      <c r="AH3" s="380"/>
      <c r="AI3" s="380"/>
    </row>
    <row r="4" spans="1:78" ht="18.75" customHeight="1" x14ac:dyDescent="0.25">
      <c r="B4" s="162" t="s">
        <v>455</v>
      </c>
      <c r="C4" s="162"/>
      <c r="D4" s="162"/>
      <c r="E4" s="162"/>
      <c r="F4" s="162"/>
      <c r="G4" s="162"/>
      <c r="H4" s="172"/>
      <c r="I4" s="172"/>
      <c r="J4" s="172"/>
      <c r="K4" s="172"/>
      <c r="L4" s="172"/>
      <c r="M4" s="172"/>
      <c r="N4" s="172"/>
      <c r="O4" s="172"/>
      <c r="P4" s="172"/>
      <c r="Q4" s="172"/>
      <c r="R4" s="172"/>
      <c r="S4" s="172"/>
      <c r="T4" s="172"/>
      <c r="U4" s="172"/>
      <c r="V4" s="172"/>
      <c r="W4" s="172"/>
      <c r="X4" s="172"/>
      <c r="Y4" s="172"/>
      <c r="Z4" s="172"/>
      <c r="AA4" s="172"/>
      <c r="AC4" s="381" t="s">
        <v>393</v>
      </c>
      <c r="AD4" s="381"/>
      <c r="AE4" s="381"/>
      <c r="AF4" s="381"/>
      <c r="AG4" s="381"/>
      <c r="AH4" s="381"/>
      <c r="AI4" s="381"/>
    </row>
    <row r="5" spans="1:78" ht="18.75" customHeight="1" x14ac:dyDescent="0.25">
      <c r="B5" s="162" t="s">
        <v>67</v>
      </c>
      <c r="C5" s="162"/>
      <c r="D5" s="162"/>
      <c r="E5" s="162"/>
      <c r="F5" s="162"/>
      <c r="G5" s="162"/>
      <c r="H5" s="175"/>
      <c r="I5" s="175"/>
      <c r="J5" s="175"/>
      <c r="K5" s="175"/>
      <c r="L5" s="175"/>
      <c r="M5" s="175"/>
      <c r="N5" s="175"/>
      <c r="O5" s="175"/>
      <c r="P5" s="175"/>
      <c r="Q5" s="175"/>
      <c r="R5" s="175"/>
      <c r="S5" s="175"/>
      <c r="T5" s="175"/>
      <c r="U5" s="175"/>
      <c r="V5" s="175"/>
      <c r="W5" s="175"/>
      <c r="X5" s="175"/>
      <c r="Y5" s="175"/>
      <c r="Z5" s="175"/>
      <c r="AA5" s="175"/>
    </row>
    <row r="6" spans="1:78" ht="18.75" customHeight="1" x14ac:dyDescent="0.25">
      <c r="B6" s="162" t="s">
        <v>468</v>
      </c>
      <c r="C6" s="162"/>
      <c r="D6" s="162"/>
      <c r="E6" s="162"/>
      <c r="F6" s="162"/>
      <c r="G6" s="162"/>
      <c r="H6" s="175"/>
      <c r="I6" s="175"/>
      <c r="J6" s="175"/>
      <c r="K6" s="175"/>
      <c r="L6" s="175"/>
      <c r="M6" s="175"/>
      <c r="N6" s="175"/>
      <c r="O6" s="175"/>
      <c r="P6" s="175"/>
      <c r="Q6" s="175"/>
      <c r="R6" s="175"/>
      <c r="S6" s="175"/>
      <c r="T6" s="175"/>
      <c r="U6" s="175"/>
      <c r="V6" s="175"/>
      <c r="W6" s="175"/>
      <c r="X6" s="175"/>
      <c r="Y6" s="175"/>
      <c r="Z6" s="175"/>
      <c r="AA6" s="175"/>
      <c r="AL6" s="2"/>
    </row>
    <row r="7" spans="1:78" ht="18.75" customHeight="1" x14ac:dyDescent="0.25">
      <c r="B7" s="162" t="s">
        <v>12</v>
      </c>
      <c r="C7" s="162"/>
      <c r="D7" s="162"/>
      <c r="E7" s="162"/>
      <c r="F7" s="162"/>
      <c r="G7" s="162"/>
      <c r="H7" s="175"/>
      <c r="I7" s="175"/>
      <c r="J7" s="175"/>
      <c r="K7" s="175"/>
      <c r="L7" s="175"/>
      <c r="M7" s="175"/>
      <c r="N7" s="175"/>
      <c r="O7" s="175"/>
      <c r="P7" s="175"/>
      <c r="Q7" s="175"/>
      <c r="R7" s="175"/>
      <c r="S7" s="175"/>
      <c r="T7" s="175"/>
      <c r="U7" s="175"/>
      <c r="V7" s="175"/>
      <c r="W7" s="175"/>
      <c r="X7" s="175"/>
      <c r="Y7" s="175"/>
      <c r="Z7" s="175"/>
      <c r="AA7" s="175"/>
      <c r="AF7" s="8"/>
      <c r="AG7" s="8"/>
      <c r="AH7" s="8"/>
      <c r="AI7" s="2"/>
      <c r="AJ7" s="2"/>
      <c r="AK7" s="2"/>
      <c r="AL7" s="2"/>
    </row>
    <row r="8" spans="1:78" ht="18.75" customHeight="1" x14ac:dyDescent="0.25">
      <c r="B8" s="162" t="s">
        <v>13</v>
      </c>
      <c r="C8" s="162"/>
      <c r="D8" s="162"/>
      <c r="E8" s="162"/>
      <c r="F8" s="162"/>
      <c r="G8" s="162"/>
      <c r="H8" s="175"/>
      <c r="I8" s="175"/>
      <c r="J8" s="175"/>
      <c r="K8" s="175"/>
      <c r="L8" s="175"/>
      <c r="M8" s="175"/>
      <c r="N8" s="175"/>
      <c r="O8" s="175"/>
      <c r="P8" s="175"/>
      <c r="Q8" s="175"/>
      <c r="R8" s="175"/>
      <c r="S8" s="175"/>
      <c r="T8" s="175"/>
      <c r="U8" s="175"/>
      <c r="V8" s="175"/>
      <c r="W8" s="175"/>
      <c r="X8" s="175"/>
      <c r="Y8" s="175"/>
      <c r="Z8" s="175"/>
      <c r="AA8" s="175"/>
      <c r="AF8" s="8"/>
      <c r="AG8" s="8"/>
      <c r="AH8" s="8"/>
      <c r="AI8" s="2"/>
      <c r="AJ8" s="2"/>
      <c r="AK8" s="2"/>
      <c r="AL8" s="2"/>
    </row>
    <row r="9" spans="1:78" ht="18.75" customHeight="1" x14ac:dyDescent="0.25">
      <c r="B9" s="162" t="s">
        <v>48</v>
      </c>
      <c r="C9" s="162"/>
      <c r="D9" s="162"/>
      <c r="E9" s="162"/>
      <c r="F9" s="162"/>
      <c r="G9" s="162"/>
      <c r="H9" s="175" t="s">
        <v>3</v>
      </c>
      <c r="I9" s="175"/>
      <c r="J9" s="175"/>
      <c r="K9" s="175"/>
      <c r="L9" s="175"/>
      <c r="M9" s="175"/>
      <c r="N9" s="175"/>
      <c r="O9" s="175"/>
      <c r="P9" s="175"/>
      <c r="Q9" s="175"/>
      <c r="R9" s="175"/>
      <c r="S9" s="175"/>
      <c r="T9" s="175"/>
      <c r="U9" s="175"/>
      <c r="V9" s="175"/>
      <c r="W9" s="175"/>
      <c r="X9" s="175"/>
      <c r="Y9" s="175"/>
      <c r="Z9" s="175"/>
      <c r="AA9" s="175"/>
      <c r="AF9" s="3"/>
      <c r="AG9" s="4"/>
      <c r="AH9" s="3"/>
      <c r="AI9" s="3"/>
      <c r="AJ9" s="3"/>
      <c r="AK9" s="3"/>
      <c r="AL9" s="2"/>
    </row>
    <row r="10" spans="1:78" ht="18.75" customHeight="1" x14ac:dyDescent="0.25">
      <c r="B10" s="162" t="s">
        <v>425</v>
      </c>
      <c r="C10" s="162"/>
      <c r="D10" s="162"/>
      <c r="E10" s="162"/>
      <c r="F10" s="162"/>
      <c r="G10" s="162"/>
      <c r="H10" s="172" t="s">
        <v>3</v>
      </c>
      <c r="I10" s="172"/>
      <c r="J10" s="172"/>
      <c r="K10" s="172"/>
      <c r="L10" s="172"/>
      <c r="M10" s="172"/>
      <c r="N10" s="172"/>
      <c r="O10" s="172"/>
      <c r="P10" s="172"/>
      <c r="Q10" s="172"/>
      <c r="R10" s="172"/>
      <c r="S10" s="172"/>
      <c r="T10" s="172"/>
      <c r="U10" s="172"/>
      <c r="V10" s="172"/>
      <c r="W10" s="172"/>
      <c r="X10" s="172"/>
      <c r="Y10" s="172"/>
      <c r="Z10" s="172"/>
      <c r="AA10" s="172"/>
      <c r="AF10" s="3"/>
      <c r="AG10" s="4"/>
      <c r="AI10" s="2"/>
      <c r="AJ10" s="2"/>
      <c r="AK10" s="3"/>
      <c r="AL10" s="2"/>
    </row>
    <row r="11" spans="1:78" ht="18.75" customHeight="1" x14ac:dyDescent="0.25">
      <c r="B11" s="162" t="s">
        <v>14</v>
      </c>
      <c r="C11" s="162"/>
      <c r="D11" s="162"/>
      <c r="E11" s="162"/>
      <c r="F11" s="162"/>
      <c r="G11" s="162"/>
      <c r="H11" s="399" t="str">
        <f>IF(H10="New Construction","UUDTR95006",IF(H10="Retrofit","UUDTR85006",""))</f>
        <v/>
      </c>
      <c r="I11" s="399"/>
      <c r="J11" s="399"/>
      <c r="K11" s="399"/>
      <c r="L11" s="399"/>
      <c r="M11" s="399"/>
      <c r="N11" s="399"/>
      <c r="O11" s="399"/>
      <c r="P11" s="399"/>
      <c r="Q11" s="399"/>
      <c r="R11" s="399"/>
      <c r="S11" s="399"/>
      <c r="T11" s="399"/>
      <c r="U11" s="399"/>
      <c r="V11" s="399"/>
      <c r="W11" s="399"/>
      <c r="X11" s="399"/>
      <c r="Y11" s="399"/>
      <c r="Z11" s="399"/>
      <c r="AA11" s="399"/>
    </row>
    <row r="12" spans="1:78" ht="18.75" customHeight="1" x14ac:dyDescent="0.25">
      <c r="B12" s="162" t="s">
        <v>480</v>
      </c>
      <c r="C12" s="162"/>
      <c r="D12" s="162"/>
      <c r="E12" s="162"/>
      <c r="F12" s="162"/>
      <c r="G12" s="162"/>
      <c r="H12" s="162"/>
      <c r="I12" s="162"/>
      <c r="J12" s="328" t="str">
        <f ca="1">IF(OR(ISBLANK($H$5),H10="--Select--"),"",OFFSET(Lists!$AI$1,MATCH(H11,Lists!$AA$2:$AA$4,FALSE),MATCH($H$5,Lists!$AJ$1:$BA$1,1)))</f>
        <v/>
      </c>
      <c r="K12" s="328"/>
      <c r="L12" s="328"/>
      <c r="M12" s="328"/>
      <c r="N12" s="328"/>
      <c r="O12" s="328"/>
      <c r="P12" s="328"/>
      <c r="Q12" s="328"/>
      <c r="R12" s="328"/>
      <c r="S12" s="328"/>
      <c r="T12" s="328"/>
      <c r="U12" s="328"/>
      <c r="V12" s="328"/>
      <c r="W12" s="328"/>
      <c r="X12" s="328"/>
      <c r="Y12" s="328"/>
      <c r="Z12" s="328"/>
      <c r="AA12" s="328"/>
    </row>
    <row r="13" spans="1:78" ht="18.75" customHeight="1" thickBot="1" x14ac:dyDescent="0.3">
      <c r="B13" s="2"/>
      <c r="C13" s="2"/>
      <c r="D13" s="2"/>
      <c r="E13" s="2"/>
      <c r="F13" s="2"/>
      <c r="G13" s="2"/>
      <c r="H13" s="2"/>
      <c r="I13" s="2"/>
    </row>
    <row r="14" spans="1:78" ht="18.75" customHeight="1" x14ac:dyDescent="0.25">
      <c r="E14" s="2"/>
      <c r="G14" s="2"/>
      <c r="H14" s="2"/>
      <c r="I14" s="2"/>
      <c r="S14" s="309" t="s">
        <v>22</v>
      </c>
      <c r="T14" s="310"/>
      <c r="U14" s="310"/>
      <c r="V14" s="311"/>
      <c r="X14" s="309" t="s">
        <v>30</v>
      </c>
      <c r="Y14" s="310"/>
      <c r="Z14" s="310"/>
      <c r="AA14" s="311"/>
    </row>
    <row r="15" spans="1:78" ht="18.75" customHeight="1" thickBot="1" x14ac:dyDescent="0.3">
      <c r="C15" s="2"/>
      <c r="D15" s="2"/>
      <c r="E15" s="2"/>
      <c r="F15" s="2"/>
      <c r="G15" s="2"/>
      <c r="H15" s="2"/>
      <c r="I15" s="2"/>
      <c r="J15" s="2"/>
      <c r="S15" s="312"/>
      <c r="T15" s="313"/>
      <c r="U15" s="313"/>
      <c r="V15" s="314"/>
      <c r="X15" s="312"/>
      <c r="Y15" s="313"/>
      <c r="Z15" s="313"/>
      <c r="AA15" s="314"/>
    </row>
    <row r="16" spans="1:78" s="119" customFormat="1" ht="18.75" customHeight="1" x14ac:dyDescent="0.3">
      <c r="B16" s="390" t="s">
        <v>690</v>
      </c>
      <c r="C16" s="391"/>
      <c r="D16" s="391"/>
      <c r="E16" s="391"/>
      <c r="F16" s="391"/>
      <c r="G16" s="391"/>
      <c r="H16" s="391"/>
      <c r="I16" s="391"/>
      <c r="J16" s="391"/>
      <c r="K16" s="391"/>
      <c r="L16" s="391"/>
      <c r="M16" s="391"/>
      <c r="N16" s="391"/>
      <c r="O16" s="391"/>
      <c r="P16" s="391"/>
      <c r="Q16" s="392"/>
      <c r="S16" s="393"/>
      <c r="T16" s="394"/>
      <c r="U16" s="394"/>
      <c r="V16" s="395"/>
      <c r="X16" s="396">
        <v>1</v>
      </c>
      <c r="Y16" s="397"/>
      <c r="Z16" s="397"/>
      <c r="AA16" s="398"/>
    </row>
    <row r="17" spans="2:58" ht="18.75" customHeight="1" x14ac:dyDescent="0.25">
      <c r="B17" s="256" t="s">
        <v>676</v>
      </c>
      <c r="C17" s="256"/>
      <c r="D17" s="256"/>
      <c r="E17" s="256"/>
      <c r="F17" s="256"/>
      <c r="G17" s="256"/>
      <c r="H17" s="256"/>
      <c r="I17" s="256"/>
      <c r="J17" s="256"/>
      <c r="K17" s="256"/>
      <c r="L17" s="256"/>
      <c r="M17" s="256"/>
      <c r="N17" s="256"/>
      <c r="O17" s="256"/>
      <c r="P17" s="256"/>
      <c r="Q17" s="256"/>
      <c r="S17" s="400"/>
      <c r="T17" s="400"/>
      <c r="U17" s="400"/>
      <c r="V17" s="400"/>
      <c r="W17" s="33"/>
      <c r="X17" s="400"/>
      <c r="Y17" s="400"/>
      <c r="Z17" s="400"/>
      <c r="AA17" s="400"/>
      <c r="AC17" s="2"/>
      <c r="AL17" s="2"/>
      <c r="AM17" s="2"/>
      <c r="AN17" s="2"/>
    </row>
    <row r="18" spans="2:58" ht="18.75" customHeight="1" x14ac:dyDescent="0.25">
      <c r="B18" s="256" t="s">
        <v>674</v>
      </c>
      <c r="C18" s="256"/>
      <c r="D18" s="256"/>
      <c r="E18" s="256"/>
      <c r="F18" s="256"/>
      <c r="G18" s="256"/>
      <c r="H18" s="256"/>
      <c r="I18" s="256"/>
      <c r="J18" s="256"/>
      <c r="K18" s="256"/>
      <c r="L18" s="256"/>
      <c r="M18" s="256"/>
      <c r="N18" s="256"/>
      <c r="O18" s="256"/>
      <c r="P18" s="256"/>
      <c r="Q18" s="256"/>
      <c r="S18" s="400"/>
      <c r="T18" s="400"/>
      <c r="U18" s="400"/>
      <c r="V18" s="400"/>
      <c r="W18" s="33"/>
      <c r="X18" s="407">
        <f>S18</f>
        <v>0</v>
      </c>
      <c r="Y18" s="408"/>
      <c r="Z18" s="408"/>
      <c r="AA18" s="409"/>
      <c r="AC18" s="343" t="s">
        <v>670</v>
      </c>
      <c r="AD18" s="344"/>
      <c r="AE18" s="344"/>
      <c r="AF18" s="344"/>
      <c r="AG18" s="344"/>
      <c r="AH18" s="344"/>
      <c r="AI18" s="344"/>
      <c r="AJ18" s="344"/>
      <c r="AK18" s="344"/>
      <c r="AL18" s="345"/>
      <c r="AM18" s="2"/>
      <c r="AN18" s="2"/>
    </row>
    <row r="19" spans="2:58" ht="18.75" customHeight="1" x14ac:dyDescent="0.25">
      <c r="B19" s="256" t="s">
        <v>675</v>
      </c>
      <c r="C19" s="256"/>
      <c r="D19" s="256"/>
      <c r="E19" s="256"/>
      <c r="F19" s="256"/>
      <c r="G19" s="256"/>
      <c r="H19" s="256"/>
      <c r="I19" s="256"/>
      <c r="J19" s="256"/>
      <c r="K19" s="256"/>
      <c r="L19" s="256"/>
      <c r="M19" s="256"/>
      <c r="N19" s="256"/>
      <c r="O19" s="256"/>
      <c r="P19" s="256"/>
      <c r="Q19" s="256"/>
      <c r="S19" s="400"/>
      <c r="T19" s="400"/>
      <c r="U19" s="400"/>
      <c r="V19" s="400"/>
      <c r="W19" s="33"/>
      <c r="X19" s="407">
        <f>S19</f>
        <v>0</v>
      </c>
      <c r="Y19" s="408"/>
      <c r="Z19" s="408"/>
      <c r="AA19" s="409"/>
      <c r="AC19" s="346"/>
      <c r="AD19" s="347"/>
      <c r="AE19" s="347"/>
      <c r="AF19" s="347"/>
      <c r="AG19" s="347"/>
      <c r="AH19" s="347"/>
      <c r="AI19" s="347"/>
      <c r="AJ19" s="347"/>
      <c r="AK19" s="347"/>
      <c r="AL19" s="348"/>
      <c r="AM19" s="2"/>
      <c r="AN19" s="2"/>
    </row>
    <row r="20" spans="2:58" ht="18.75" customHeight="1" x14ac:dyDescent="0.25">
      <c r="B20" s="256" t="s">
        <v>49</v>
      </c>
      <c r="C20" s="256"/>
      <c r="D20" s="256"/>
      <c r="E20" s="256"/>
      <c r="F20" s="256"/>
      <c r="G20" s="256"/>
      <c r="H20" s="256"/>
      <c r="I20" s="256"/>
      <c r="J20" s="256"/>
      <c r="K20" s="256"/>
      <c r="L20" s="256"/>
      <c r="M20" s="256"/>
      <c r="N20" s="256"/>
      <c r="O20" s="256"/>
      <c r="P20" s="256"/>
      <c r="Q20" s="256"/>
      <c r="S20" s="417" t="str">
        <f>IFERROR($S$19/$S$18,"")</f>
        <v/>
      </c>
      <c r="T20" s="418"/>
      <c r="U20" s="418"/>
      <c r="V20" s="419"/>
      <c r="W20" s="33"/>
      <c r="X20" s="414" t="str">
        <f>IFERROR($X$19/$X$18,"")</f>
        <v/>
      </c>
      <c r="Y20" s="415"/>
      <c r="Z20" s="415"/>
      <c r="AA20" s="416"/>
      <c r="AC20" s="349"/>
      <c r="AD20" s="350"/>
      <c r="AE20" s="350"/>
      <c r="AF20" s="350"/>
      <c r="AG20" s="350"/>
      <c r="AH20" s="350"/>
      <c r="AI20" s="350"/>
      <c r="AJ20" s="350"/>
      <c r="AK20" s="350"/>
      <c r="AL20" s="351"/>
      <c r="AM20" s="66"/>
      <c r="AN20" s="66"/>
      <c r="AO20" s="66"/>
      <c r="AP20" s="66"/>
      <c r="AQ20" s="66"/>
      <c r="AR20" s="66"/>
      <c r="AS20" s="66"/>
      <c r="AT20" s="66"/>
      <c r="AU20" s="66"/>
      <c r="AV20" s="66"/>
      <c r="AW20" s="66"/>
      <c r="AX20" s="66"/>
      <c r="AY20" s="66"/>
      <c r="AZ20" s="66"/>
      <c r="BA20" s="66"/>
      <c r="BB20" s="66"/>
      <c r="BC20" s="66"/>
      <c r="BD20" s="66"/>
      <c r="BE20" s="66"/>
      <c r="BF20" s="66"/>
    </row>
    <row r="21" spans="2:58" ht="18.75" customHeight="1" x14ac:dyDescent="0.25">
      <c r="B21" s="2"/>
      <c r="C21" s="2"/>
      <c r="D21" s="2"/>
      <c r="S21" s="32"/>
      <c r="T21" s="32"/>
      <c r="U21" s="32"/>
      <c r="V21" s="32"/>
      <c r="W21" s="32"/>
      <c r="X21" s="2"/>
      <c r="Y21" s="2"/>
      <c r="AC21" s="2"/>
      <c r="AE21" s="17"/>
      <c r="AI21" s="2"/>
      <c r="AL21" s="2"/>
      <c r="AM21" s="2"/>
      <c r="AN21" s="2"/>
      <c r="AT21" s="2"/>
    </row>
    <row r="22" spans="2:58" ht="18.75" customHeight="1" x14ac:dyDescent="0.25">
      <c r="B22" s="256" t="s">
        <v>470</v>
      </c>
      <c r="C22" s="256"/>
      <c r="D22" s="256"/>
      <c r="E22" s="256"/>
      <c r="F22" s="256"/>
      <c r="G22" s="256"/>
      <c r="H22" s="256"/>
      <c r="I22" s="256"/>
      <c r="J22" s="256"/>
      <c r="K22" s="256"/>
      <c r="L22" s="256"/>
      <c r="M22" s="256"/>
      <c r="N22" s="256"/>
      <c r="O22" s="256"/>
      <c r="P22" s="256"/>
      <c r="Q22" s="256"/>
      <c r="S22" s="417" t="str">
        <f>IFERROR($S$20^2*0.85+$S$20*0.15,"")</f>
        <v/>
      </c>
      <c r="T22" s="418"/>
      <c r="U22" s="418"/>
      <c r="V22" s="419"/>
      <c r="W22" s="33"/>
      <c r="X22" s="414" t="str">
        <f>IFERROR(0.85*X20^2+0.15*X20,"")</f>
        <v/>
      </c>
      <c r="Y22" s="415"/>
      <c r="Z22" s="415"/>
      <c r="AA22" s="416"/>
      <c r="AC22" s="2"/>
      <c r="AE22" s="17"/>
      <c r="AL22" s="2"/>
      <c r="AM22" s="2"/>
      <c r="AN22" s="2"/>
    </row>
    <row r="23" spans="2:58" ht="18.75" customHeight="1" x14ac:dyDescent="0.25">
      <c r="B23" s="256" t="s">
        <v>50</v>
      </c>
      <c r="C23" s="256"/>
      <c r="D23" s="256"/>
      <c r="E23" s="256"/>
      <c r="F23" s="256"/>
      <c r="G23" s="256"/>
      <c r="H23" s="256"/>
      <c r="I23" s="256"/>
      <c r="J23" s="256"/>
      <c r="K23" s="256"/>
      <c r="L23" s="256"/>
      <c r="M23" s="256"/>
      <c r="N23" s="256"/>
      <c r="O23" s="256"/>
      <c r="P23" s="256"/>
      <c r="Q23" s="256"/>
      <c r="S23" s="400"/>
      <c r="T23" s="400"/>
      <c r="U23" s="400"/>
      <c r="V23" s="400"/>
      <c r="W23" s="33"/>
      <c r="X23" s="407">
        <f>S23</f>
        <v>0</v>
      </c>
      <c r="Y23" s="408"/>
      <c r="Z23" s="408"/>
      <c r="AA23" s="409"/>
      <c r="AC23" s="2"/>
      <c r="AL23" s="2"/>
      <c r="AM23" s="2"/>
      <c r="AN23" s="2"/>
    </row>
    <row r="24" spans="2:58" ht="18.75" customHeight="1" x14ac:dyDescent="0.25">
      <c r="B24" s="2"/>
      <c r="C24" s="2"/>
      <c r="D24" s="2"/>
      <c r="S24" s="32"/>
      <c r="T24" s="32"/>
      <c r="U24" s="32"/>
      <c r="V24" s="32"/>
      <c r="X24" s="2"/>
      <c r="Y24" s="2"/>
      <c r="AC24" s="2"/>
      <c r="AI24" s="2"/>
      <c r="AL24" s="2"/>
      <c r="AM24" s="2"/>
      <c r="AN24" s="2"/>
    </row>
    <row r="25" spans="2:58" ht="18.75" customHeight="1" x14ac:dyDescent="0.25">
      <c r="B25" s="256" t="s">
        <v>678</v>
      </c>
      <c r="C25" s="256"/>
      <c r="D25" s="256"/>
      <c r="E25" s="256"/>
      <c r="F25" s="256"/>
      <c r="G25" s="256"/>
      <c r="H25" s="256"/>
      <c r="I25" s="256"/>
      <c r="J25" s="256"/>
      <c r="K25" s="256"/>
      <c r="L25" s="256"/>
      <c r="M25" s="256"/>
      <c r="N25" s="256"/>
      <c r="O25" s="256"/>
      <c r="P25" s="256"/>
      <c r="Q25" s="256"/>
      <c r="S25" s="255"/>
      <c r="T25" s="255"/>
      <c r="U25" s="255"/>
      <c r="V25" s="255"/>
      <c r="X25" s="255"/>
      <c r="Y25" s="255"/>
      <c r="Z25" s="255"/>
      <c r="AA25" s="255"/>
      <c r="AC25" s="2"/>
    </row>
    <row r="26" spans="2:58" ht="18.75" customHeight="1" x14ac:dyDescent="0.25">
      <c r="B26" s="256" t="s">
        <v>677</v>
      </c>
      <c r="C26" s="256"/>
      <c r="D26" s="256"/>
      <c r="E26" s="256"/>
      <c r="F26" s="256"/>
      <c r="G26" s="256"/>
      <c r="H26" s="256"/>
      <c r="I26" s="256"/>
      <c r="J26" s="256"/>
      <c r="K26" s="256"/>
      <c r="L26" s="256"/>
      <c r="M26" s="256"/>
      <c r="N26" s="256"/>
      <c r="O26" s="256"/>
      <c r="P26" s="256"/>
      <c r="Q26" s="256"/>
      <c r="S26" s="255"/>
      <c r="T26" s="255"/>
      <c r="U26" s="255"/>
      <c r="V26" s="255"/>
      <c r="X26" s="255"/>
      <c r="Y26" s="255"/>
      <c r="Z26" s="255"/>
      <c r="AA26" s="255"/>
      <c r="AC26" s="2"/>
    </row>
    <row r="27" spans="2:58" ht="18.75" customHeight="1" x14ac:dyDescent="0.25">
      <c r="B27" s="2"/>
      <c r="C27" s="2"/>
      <c r="S27" s="32"/>
      <c r="T27" s="32"/>
      <c r="U27" s="32"/>
      <c r="V27" s="32"/>
      <c r="X27" s="8"/>
      <c r="Y27" s="2"/>
      <c r="AC27" s="2"/>
    </row>
    <row r="28" spans="2:58" ht="18.75" customHeight="1" x14ac:dyDescent="0.25">
      <c r="B28" s="256" t="s">
        <v>51</v>
      </c>
      <c r="C28" s="256"/>
      <c r="D28" s="256"/>
      <c r="E28" s="256"/>
      <c r="F28" s="256"/>
      <c r="G28" s="256"/>
      <c r="H28" s="256"/>
      <c r="I28" s="256"/>
      <c r="J28" s="256"/>
      <c r="K28" s="256"/>
      <c r="L28" s="256"/>
      <c r="M28" s="256"/>
      <c r="N28" s="256"/>
      <c r="O28" s="256"/>
      <c r="P28" s="256"/>
      <c r="Q28" s="256"/>
      <c r="S28" s="410" t="s">
        <v>492</v>
      </c>
      <c r="T28" s="410"/>
      <c r="U28" s="410"/>
      <c r="V28" s="410"/>
      <c r="X28" s="410" t="s">
        <v>492</v>
      </c>
      <c r="Y28" s="410"/>
      <c r="Z28" s="410"/>
      <c r="AA28" s="410"/>
      <c r="AC28" s="2"/>
    </row>
    <row r="29" spans="2:58" ht="18.75" customHeight="1" x14ac:dyDescent="0.25">
      <c r="B29" s="2"/>
      <c r="C29" s="2"/>
      <c r="S29" s="32"/>
      <c r="T29" s="32"/>
      <c r="U29" s="32"/>
      <c r="V29" s="32"/>
      <c r="X29" s="2"/>
      <c r="Y29" s="2"/>
      <c r="AC29" s="2"/>
    </row>
    <row r="30" spans="2:58" ht="18.75" customHeight="1" x14ac:dyDescent="0.25">
      <c r="B30" s="256" t="s">
        <v>438</v>
      </c>
      <c r="C30" s="256"/>
      <c r="D30" s="256"/>
      <c r="E30" s="256"/>
      <c r="F30" s="256"/>
      <c r="G30" s="256"/>
      <c r="H30" s="256"/>
      <c r="I30" s="256"/>
      <c r="J30" s="256"/>
      <c r="K30" s="256"/>
      <c r="L30" s="256"/>
      <c r="M30" s="256"/>
      <c r="N30" s="256"/>
      <c r="O30" s="256"/>
      <c r="P30" s="256"/>
      <c r="Q30" s="256"/>
      <c r="S30" s="401" t="str">
        <f>IFERROR($S$26*($S$18/$S$17)^2,"")</f>
        <v/>
      </c>
      <c r="T30" s="402"/>
      <c r="U30" s="402"/>
      <c r="V30" s="403"/>
      <c r="X30" s="420" t="str">
        <f>IFERROR($X$26*($X$18/X17)^2,"")</f>
        <v/>
      </c>
      <c r="Y30" s="421"/>
      <c r="Z30" s="421"/>
      <c r="AA30" s="422"/>
      <c r="AC30" s="2"/>
    </row>
    <row r="31" spans="2:58" ht="18.75" customHeight="1" x14ac:dyDescent="0.25">
      <c r="B31" s="256" t="s">
        <v>439</v>
      </c>
      <c r="C31" s="256"/>
      <c r="D31" s="256"/>
      <c r="E31" s="256"/>
      <c r="F31" s="256"/>
      <c r="G31" s="256"/>
      <c r="H31" s="256"/>
      <c r="I31" s="256"/>
      <c r="J31" s="256"/>
      <c r="K31" s="256"/>
      <c r="L31" s="256"/>
      <c r="M31" s="256"/>
      <c r="N31" s="256"/>
      <c r="O31" s="256"/>
      <c r="P31" s="256"/>
      <c r="Q31" s="256"/>
      <c r="S31" s="404">
        <f>IFERROR($S$25*$S$23,"")</f>
        <v>0</v>
      </c>
      <c r="T31" s="405"/>
      <c r="U31" s="405"/>
      <c r="V31" s="406"/>
      <c r="X31" s="423">
        <f>IFERROR($X$25*$X$23,"")</f>
        <v>0</v>
      </c>
      <c r="Y31" s="424"/>
      <c r="Z31" s="424"/>
      <c r="AA31" s="425"/>
      <c r="AC31" s="2"/>
    </row>
    <row r="32" spans="2:58" ht="18.75" customHeight="1" x14ac:dyDescent="0.25">
      <c r="B32" s="256" t="s">
        <v>440</v>
      </c>
      <c r="C32" s="256"/>
      <c r="D32" s="256"/>
      <c r="E32" s="256"/>
      <c r="F32" s="256"/>
      <c r="G32" s="256"/>
      <c r="H32" s="256"/>
      <c r="I32" s="256"/>
      <c r="J32" s="256"/>
      <c r="K32" s="256"/>
      <c r="L32" s="256"/>
      <c r="M32" s="256"/>
      <c r="N32" s="256"/>
      <c r="O32" s="256"/>
      <c r="P32" s="256"/>
      <c r="Q32" s="256"/>
      <c r="S32" s="404" t="str">
        <f>IFERROR($S$30*$S$22*$S$23,"")</f>
        <v/>
      </c>
      <c r="T32" s="405"/>
      <c r="U32" s="405"/>
      <c r="V32" s="406"/>
      <c r="X32" s="423" t="str">
        <f>IFERROR($X$30*$X$22*$X$23,"")</f>
        <v/>
      </c>
      <c r="Y32" s="424"/>
      <c r="Z32" s="424"/>
      <c r="AA32" s="425"/>
      <c r="AC32" s="2"/>
    </row>
    <row r="33" spans="2:38" ht="18.75" customHeight="1" x14ac:dyDescent="0.25">
      <c r="B33" s="256" t="s">
        <v>699</v>
      </c>
      <c r="C33" s="256"/>
      <c r="D33" s="256"/>
      <c r="E33" s="256"/>
      <c r="F33" s="256"/>
      <c r="G33" s="256"/>
      <c r="H33" s="256"/>
      <c r="I33" s="256"/>
      <c r="J33" s="256"/>
      <c r="K33" s="256"/>
      <c r="L33" s="256"/>
      <c r="M33" s="256"/>
      <c r="N33" s="256"/>
      <c r="O33" s="256"/>
      <c r="P33" s="256"/>
      <c r="Q33" s="256"/>
      <c r="S33" s="404">
        <f>IFERROR(SUM(S31:V32),"")</f>
        <v>0</v>
      </c>
      <c r="T33" s="405"/>
      <c r="U33" s="405"/>
      <c r="V33" s="406"/>
      <c r="X33" s="423">
        <f>SUM(X31:AA32)</f>
        <v>0</v>
      </c>
      <c r="Y33" s="424"/>
      <c r="Z33" s="424"/>
      <c r="AA33" s="425"/>
    </row>
    <row r="34" spans="2:38" s="119" customFormat="1" ht="18.75" customHeight="1" thickBot="1" x14ac:dyDescent="0.3"/>
    <row r="35" spans="2:38" ht="18.75" customHeight="1" thickBot="1" x14ac:dyDescent="0.3">
      <c r="B35" s="280" t="s">
        <v>700</v>
      </c>
      <c r="C35" s="281"/>
      <c r="D35" s="281"/>
      <c r="E35" s="281"/>
      <c r="F35" s="281"/>
      <c r="G35" s="281"/>
      <c r="H35" s="281"/>
      <c r="I35" s="281"/>
      <c r="J35" s="281"/>
      <c r="K35" s="281"/>
      <c r="L35" s="281"/>
      <c r="M35" s="281"/>
      <c r="N35" s="281"/>
      <c r="O35" s="281"/>
      <c r="P35" s="281"/>
      <c r="Q35" s="282"/>
      <c r="R35" s="119"/>
      <c r="S35" s="283">
        <f>IFERROR(($S$33-$X$33),"")</f>
        <v>0</v>
      </c>
      <c r="T35" s="284"/>
      <c r="U35" s="284"/>
      <c r="V35" s="284"/>
      <c r="W35" s="284"/>
      <c r="X35" s="284"/>
      <c r="Y35" s="284"/>
      <c r="Z35" s="284"/>
      <c r="AA35" s="285"/>
    </row>
    <row r="36" spans="2:38" ht="18.75" customHeight="1" thickBot="1" x14ac:dyDescent="0.3">
      <c r="B36" s="280" t="s">
        <v>485</v>
      </c>
      <c r="C36" s="281"/>
      <c r="D36" s="281"/>
      <c r="E36" s="281"/>
      <c r="F36" s="281"/>
      <c r="G36" s="281"/>
      <c r="H36" s="281"/>
      <c r="I36" s="281"/>
      <c r="J36" s="281"/>
      <c r="K36" s="281"/>
      <c r="L36" s="281"/>
      <c r="M36" s="281"/>
      <c r="N36" s="281"/>
      <c r="O36" s="281"/>
      <c r="P36" s="281"/>
      <c r="Q36" s="282"/>
      <c r="S36" s="283">
        <f>IFERROR(($S$33-$X$33)*$X$16,"")</f>
        <v>0</v>
      </c>
      <c r="T36" s="284"/>
      <c r="U36" s="284"/>
      <c r="V36" s="284"/>
      <c r="W36" s="284"/>
      <c r="X36" s="284"/>
      <c r="Y36" s="284"/>
      <c r="Z36" s="284"/>
      <c r="AA36" s="285"/>
      <c r="AC36" s="373" t="s">
        <v>487</v>
      </c>
      <c r="AD36" s="374"/>
      <c r="AE36" s="374"/>
      <c r="AF36" s="375"/>
      <c r="AL36" s="5"/>
    </row>
    <row r="37" spans="2:38" ht="18.75" customHeight="1" thickBot="1" x14ac:dyDescent="0.3">
      <c r="B37" s="280" t="s">
        <v>486</v>
      </c>
      <c r="C37" s="281"/>
      <c r="D37" s="281"/>
      <c r="E37" s="281"/>
      <c r="F37" s="281"/>
      <c r="G37" s="281"/>
      <c r="H37" s="281"/>
      <c r="I37" s="281"/>
      <c r="J37" s="281"/>
      <c r="K37" s="281"/>
      <c r="L37" s="281"/>
      <c r="M37" s="281"/>
      <c r="N37" s="281"/>
      <c r="O37" s="281"/>
      <c r="P37" s="281"/>
      <c r="Q37" s="282"/>
      <c r="S37" s="283">
        <f>IFERROR(S36*AC37,"")</f>
        <v>0</v>
      </c>
      <c r="T37" s="284"/>
      <c r="U37" s="284"/>
      <c r="V37" s="284"/>
      <c r="W37" s="284"/>
      <c r="X37" s="284"/>
      <c r="Y37" s="284"/>
      <c r="Z37" s="284"/>
      <c r="AA37" s="285"/>
      <c r="AC37" s="376">
        <v>1.09056</v>
      </c>
      <c r="AD37" s="377"/>
      <c r="AE37" s="377"/>
      <c r="AF37" s="378"/>
      <c r="AL37" s="5"/>
    </row>
    <row r="38" spans="2:38" s="119" customFormat="1" ht="18.75" customHeight="1" thickBot="1" x14ac:dyDescent="0.3"/>
    <row r="39" spans="2:38" ht="18.75" customHeight="1" thickBot="1" x14ac:dyDescent="0.3">
      <c r="B39" s="287" t="s">
        <v>701</v>
      </c>
      <c r="C39" s="288"/>
      <c r="D39" s="288"/>
      <c r="E39" s="288"/>
      <c r="F39" s="288"/>
      <c r="G39" s="288"/>
      <c r="H39" s="288"/>
      <c r="I39" s="288"/>
      <c r="J39" s="288"/>
      <c r="K39" s="288"/>
      <c r="L39" s="288"/>
      <c r="M39" s="288"/>
      <c r="N39" s="288"/>
      <c r="O39" s="288"/>
      <c r="P39" s="288"/>
      <c r="Q39" s="289"/>
      <c r="R39" s="119"/>
      <c r="S39" s="252"/>
      <c r="T39" s="253"/>
      <c r="U39" s="253"/>
      <c r="V39" s="253"/>
      <c r="W39" s="253"/>
      <c r="X39" s="253"/>
      <c r="Y39" s="253"/>
      <c r="Z39" s="253"/>
      <c r="AA39" s="254"/>
    </row>
    <row r="40" spans="2:38" ht="18.75" customHeight="1" thickBot="1" x14ac:dyDescent="0.3">
      <c r="B40" s="287" t="s">
        <v>539</v>
      </c>
      <c r="C40" s="288"/>
      <c r="D40" s="288"/>
      <c r="E40" s="288"/>
      <c r="F40" s="288"/>
      <c r="G40" s="288"/>
      <c r="H40" s="288"/>
      <c r="I40" s="288"/>
      <c r="J40" s="288"/>
      <c r="K40" s="288"/>
      <c r="L40" s="288"/>
      <c r="M40" s="288"/>
      <c r="N40" s="288"/>
      <c r="O40" s="288"/>
      <c r="P40" s="288"/>
      <c r="Q40" s="289"/>
      <c r="S40" s="437">
        <f>$S$39*$X$16</f>
        <v>0</v>
      </c>
      <c r="T40" s="438"/>
      <c r="U40" s="438"/>
      <c r="V40" s="438"/>
      <c r="W40" s="438"/>
      <c r="X40" s="438"/>
      <c r="Y40" s="438"/>
      <c r="Z40" s="438"/>
      <c r="AA40" s="439"/>
    </row>
    <row r="42" spans="2:38" ht="18.75" customHeight="1" x14ac:dyDescent="0.25">
      <c r="B42" s="5" t="s">
        <v>515</v>
      </c>
    </row>
    <row r="43" spans="2:38" ht="18.75" customHeight="1" x14ac:dyDescent="0.25">
      <c r="B43" t="s">
        <v>493</v>
      </c>
      <c r="C43" s="5"/>
      <c r="D43" s="2"/>
    </row>
    <row r="44" spans="2:38" ht="18.75" customHeight="1" thickBot="1" x14ac:dyDescent="0.3">
      <c r="B44" s="69" t="s">
        <v>479</v>
      </c>
      <c r="C44" s="70"/>
      <c r="D44" s="70"/>
      <c r="E44" s="70"/>
      <c r="F44" s="70"/>
      <c r="G44" s="70"/>
      <c r="H44" s="70"/>
      <c r="I44" s="70"/>
      <c r="J44" s="70"/>
      <c r="K44" s="70"/>
      <c r="L44" s="70"/>
      <c r="M44" s="70"/>
      <c r="N44" s="74"/>
      <c r="O44" s="70"/>
      <c r="P44" s="70"/>
      <c r="Q44" s="70"/>
      <c r="R44" s="70"/>
      <c r="S44" s="248" t="s">
        <v>476</v>
      </c>
      <c r="T44" s="248"/>
      <c r="U44" s="248"/>
      <c r="V44" s="249"/>
    </row>
    <row r="45" spans="2:38" ht="18.75" customHeight="1" x14ac:dyDescent="0.25">
      <c r="B45" s="71" t="s">
        <v>475</v>
      </c>
      <c r="C45" s="72"/>
      <c r="D45" s="72"/>
      <c r="E45" s="72"/>
      <c r="F45" s="72"/>
      <c r="G45" s="72"/>
      <c r="H45" s="72"/>
      <c r="I45" s="72"/>
      <c r="J45" s="72"/>
      <c r="K45" s="72"/>
      <c r="L45" s="72"/>
      <c r="M45" s="72"/>
      <c r="N45" s="72"/>
      <c r="O45" s="72"/>
      <c r="P45" s="72"/>
      <c r="Q45" s="72"/>
      <c r="R45" s="72"/>
      <c r="S45" s="250"/>
      <c r="T45" s="250"/>
      <c r="U45" s="250"/>
      <c r="V45" s="251"/>
    </row>
    <row r="46" spans="2:38" ht="18.75" customHeight="1" x14ac:dyDescent="0.25">
      <c r="B46" s="71" t="s">
        <v>477</v>
      </c>
      <c r="C46" s="72"/>
      <c r="D46" s="72"/>
      <c r="E46" s="72"/>
      <c r="F46" s="72"/>
      <c r="G46" s="72"/>
      <c r="H46" s="72"/>
      <c r="I46" s="72"/>
      <c r="J46" s="72"/>
      <c r="K46" s="72"/>
      <c r="L46" s="72"/>
      <c r="M46" s="72"/>
      <c r="N46" s="72"/>
      <c r="O46" s="72"/>
      <c r="P46" s="72"/>
      <c r="Q46" s="72"/>
      <c r="R46" s="72"/>
      <c r="S46" s="250"/>
      <c r="T46" s="250"/>
      <c r="U46" s="250"/>
      <c r="V46" s="251"/>
    </row>
    <row r="47" spans="2:38" ht="18.75" customHeight="1" thickBot="1" x14ac:dyDescent="0.3">
      <c r="B47" s="71" t="s">
        <v>473</v>
      </c>
      <c r="C47" s="72"/>
      <c r="D47" s="72"/>
      <c r="E47" s="72"/>
      <c r="F47" s="72"/>
      <c r="G47" s="72"/>
      <c r="H47" s="72"/>
      <c r="I47" s="72"/>
      <c r="J47" s="72"/>
      <c r="K47" s="72"/>
      <c r="L47" s="72"/>
      <c r="M47" s="72"/>
      <c r="N47" s="72"/>
      <c r="O47" s="72"/>
      <c r="P47" s="72"/>
      <c r="Q47" s="72"/>
      <c r="R47" s="72"/>
      <c r="S47" s="250"/>
      <c r="T47" s="250"/>
      <c r="U47" s="250"/>
      <c r="V47" s="251"/>
      <c r="X47" s="32"/>
    </row>
    <row r="48" spans="2:38" ht="18.75" customHeight="1" thickBot="1" x14ac:dyDescent="0.3">
      <c r="B48" s="73" t="s">
        <v>478</v>
      </c>
      <c r="C48" s="72"/>
      <c r="D48" s="72"/>
      <c r="E48" s="72"/>
      <c r="F48" s="72"/>
      <c r="G48" s="72"/>
      <c r="H48" s="72"/>
      <c r="I48" s="72"/>
      <c r="J48" s="72"/>
      <c r="K48" s="72"/>
      <c r="L48" s="72"/>
      <c r="M48" s="72"/>
      <c r="N48" s="72"/>
      <c r="O48" s="72"/>
      <c r="P48" s="72"/>
      <c r="Q48" s="72"/>
      <c r="R48" s="72"/>
      <c r="S48" s="250"/>
      <c r="T48" s="250"/>
      <c r="U48" s="250"/>
      <c r="V48" s="251"/>
      <c r="X48" s="63"/>
      <c r="AC48" s="63"/>
      <c r="AH48" s="63"/>
    </row>
    <row r="49" spans="1:27" ht="18.75" customHeight="1" x14ac:dyDescent="0.25">
      <c r="B49" s="71" t="s">
        <v>474</v>
      </c>
      <c r="C49" s="72"/>
      <c r="D49" s="72"/>
      <c r="E49" s="72"/>
      <c r="F49" s="72"/>
      <c r="G49" s="72"/>
      <c r="H49" s="72"/>
      <c r="I49" s="72"/>
      <c r="J49" s="72"/>
      <c r="K49" s="72"/>
      <c r="L49" s="72"/>
      <c r="M49" s="72"/>
      <c r="N49" s="72"/>
      <c r="O49" s="72"/>
      <c r="P49" s="72"/>
      <c r="Q49" s="72"/>
      <c r="R49" s="72"/>
      <c r="S49" s="250"/>
      <c r="T49" s="250"/>
      <c r="U49" s="250"/>
      <c r="V49" s="251"/>
    </row>
    <row r="50" spans="1:27" ht="18.75" customHeight="1" x14ac:dyDescent="0.25">
      <c r="B50" s="71" t="s">
        <v>488</v>
      </c>
      <c r="C50" s="72"/>
      <c r="D50" s="72"/>
      <c r="E50" s="72"/>
      <c r="F50" s="72"/>
      <c r="G50" s="72"/>
      <c r="H50" s="72"/>
      <c r="I50" s="72"/>
      <c r="J50" s="72"/>
      <c r="K50" s="72"/>
      <c r="L50" s="72"/>
      <c r="M50" s="72"/>
      <c r="N50" s="72"/>
      <c r="O50" s="72"/>
      <c r="P50" s="72"/>
      <c r="Q50" s="72"/>
      <c r="R50" s="72"/>
      <c r="S50" s="250"/>
      <c r="T50" s="250"/>
      <c r="U50" s="250"/>
      <c r="V50" s="251"/>
    </row>
    <row r="51" spans="1:27" ht="18.75" customHeight="1" x14ac:dyDescent="0.25">
      <c r="B51" s="73" t="s">
        <v>489</v>
      </c>
      <c r="C51" s="72"/>
      <c r="D51" s="72"/>
      <c r="E51" s="72"/>
      <c r="F51" s="72"/>
      <c r="G51" s="72"/>
      <c r="H51" s="72"/>
      <c r="I51" s="72"/>
      <c r="J51" s="72"/>
      <c r="K51" s="72"/>
      <c r="L51" s="72"/>
      <c r="M51" s="72"/>
      <c r="N51" s="72"/>
      <c r="O51" s="72"/>
      <c r="P51" s="72"/>
      <c r="Q51" s="72"/>
      <c r="R51" s="72"/>
      <c r="S51" s="250"/>
      <c r="T51" s="250"/>
      <c r="U51" s="250"/>
      <c r="V51" s="251"/>
    </row>
    <row r="52" spans="1:27" ht="18.75" customHeight="1" x14ac:dyDescent="0.25">
      <c r="B52" s="75" t="s">
        <v>490</v>
      </c>
      <c r="C52" s="62"/>
      <c r="D52" s="62"/>
      <c r="E52" s="62"/>
      <c r="F52" s="62"/>
      <c r="G52" s="62"/>
      <c r="H52" s="62"/>
      <c r="I52" s="62"/>
      <c r="J52" s="62"/>
      <c r="K52" s="62"/>
      <c r="L52" s="62"/>
      <c r="M52" s="62"/>
      <c r="N52" s="62"/>
      <c r="O52" s="62"/>
      <c r="P52" s="62"/>
      <c r="Q52" s="62"/>
      <c r="R52" s="62"/>
      <c r="S52" s="62"/>
      <c r="T52" s="62"/>
      <c r="U52" s="62"/>
      <c r="V52" s="76"/>
    </row>
    <row r="53" spans="1:27" ht="18.75" customHeight="1" thickBot="1" x14ac:dyDescent="0.3">
      <c r="B53" s="146" t="s">
        <v>689</v>
      </c>
    </row>
    <row r="54" spans="1:27" ht="18.75" customHeight="1" thickBot="1" x14ac:dyDescent="0.3">
      <c r="B54" s="287" t="s">
        <v>410</v>
      </c>
      <c r="C54" s="288"/>
      <c r="D54" s="288"/>
      <c r="E54" s="288"/>
      <c r="F54" s="288"/>
      <c r="G54" s="288"/>
      <c r="H54" s="288"/>
      <c r="I54" s="288"/>
      <c r="J54" s="288"/>
      <c r="K54" s="288"/>
      <c r="L54" s="288"/>
      <c r="M54" s="288"/>
      <c r="N54" s="288"/>
      <c r="O54" s="288"/>
      <c r="P54" s="288"/>
      <c r="Q54" s="289"/>
      <c r="S54" s="277" t="str">
        <f ca="1">IFERROR(IF(S40&lt;0,0,IF(S37*J12&lt;(0.7*$S$40),S37*J12,0.7*$S$40)),"")</f>
        <v/>
      </c>
      <c r="T54" s="278"/>
      <c r="U54" s="278"/>
      <c r="V54" s="278"/>
      <c r="W54" s="278"/>
      <c r="X54" s="278"/>
      <c r="Y54" s="278"/>
      <c r="Z54" s="278"/>
      <c r="AA54" s="279"/>
    </row>
    <row r="55" spans="1:27" ht="18.75" customHeight="1" thickBot="1" x14ac:dyDescent="0.3">
      <c r="B55" s="287" t="s">
        <v>411</v>
      </c>
      <c r="C55" s="288"/>
      <c r="D55" s="288"/>
      <c r="E55" s="288"/>
      <c r="F55" s="288"/>
      <c r="G55" s="288"/>
      <c r="H55" s="288"/>
      <c r="I55" s="288"/>
      <c r="J55" s="288"/>
      <c r="K55" s="288"/>
      <c r="L55" s="288"/>
      <c r="M55" s="288"/>
      <c r="N55" s="288"/>
      <c r="O55" s="288"/>
      <c r="P55" s="288"/>
      <c r="Q55" s="289"/>
      <c r="S55" s="277" t="str">
        <f ca="1">IFERROR(S54*Summary!$M$18,"")</f>
        <v/>
      </c>
      <c r="T55" s="278"/>
      <c r="U55" s="278"/>
      <c r="V55" s="278"/>
      <c r="W55" s="278"/>
      <c r="X55" s="278"/>
      <c r="Y55" s="278"/>
      <c r="Z55" s="278"/>
      <c r="AA55" s="279"/>
    </row>
    <row r="56" spans="1:27" ht="18.75" customHeight="1" thickBot="1" x14ac:dyDescent="0.3">
      <c r="B56" s="287" t="s">
        <v>412</v>
      </c>
      <c r="C56" s="288"/>
      <c r="D56" s="288"/>
      <c r="E56" s="288"/>
      <c r="F56" s="288"/>
      <c r="G56" s="288"/>
      <c r="H56" s="288"/>
      <c r="I56" s="288"/>
      <c r="J56" s="288"/>
      <c r="K56" s="288"/>
      <c r="L56" s="288"/>
      <c r="M56" s="288"/>
      <c r="N56" s="288"/>
      <c r="O56" s="288"/>
      <c r="P56" s="288"/>
      <c r="Q56" s="289"/>
      <c r="S56" s="277" t="str">
        <f ca="1">IFERROR(S54*Summary!$M$19,"")</f>
        <v/>
      </c>
      <c r="T56" s="278"/>
      <c r="U56" s="278"/>
      <c r="V56" s="278"/>
      <c r="W56" s="278"/>
      <c r="X56" s="278"/>
      <c r="Y56" s="278"/>
      <c r="Z56" s="278"/>
      <c r="AA56" s="279"/>
    </row>
    <row r="58" spans="1:27" ht="18.75" customHeight="1" x14ac:dyDescent="0.25">
      <c r="A58" s="68" t="s">
        <v>484</v>
      </c>
    </row>
  </sheetData>
  <sheetProtection password="BD7D" sheet="1" scenarios="1"/>
  <mergeCells count="85">
    <mergeCell ref="B19:Q19"/>
    <mergeCell ref="S19:V19"/>
    <mergeCell ref="X19:AA19"/>
    <mergeCell ref="B20:Q20"/>
    <mergeCell ref="S20:V20"/>
    <mergeCell ref="X20:AA20"/>
    <mergeCell ref="B16:Q16"/>
    <mergeCell ref="S16:V16"/>
    <mergeCell ref="X16:AA16"/>
    <mergeCell ref="X17:AA17"/>
    <mergeCell ref="B18:Q18"/>
    <mergeCell ref="S18:V18"/>
    <mergeCell ref="X18:AA18"/>
    <mergeCell ref="AC18:AL20"/>
    <mergeCell ref="AC2:AI2"/>
    <mergeCell ref="AC3:AI3"/>
    <mergeCell ref="AC4:AI4"/>
    <mergeCell ref="B4:G4"/>
    <mergeCell ref="B6:G6"/>
    <mergeCell ref="B7:G7"/>
    <mergeCell ref="B5:G5"/>
    <mergeCell ref="B8:G8"/>
    <mergeCell ref="B9:G9"/>
    <mergeCell ref="S14:V15"/>
    <mergeCell ref="X14:AA15"/>
    <mergeCell ref="B17:Q17"/>
    <mergeCell ref="S17:V17"/>
    <mergeCell ref="B10:G10"/>
    <mergeCell ref="B11:G11"/>
    <mergeCell ref="B22:Q22"/>
    <mergeCell ref="S22:V22"/>
    <mergeCell ref="X22:AA22"/>
    <mergeCell ref="B23:Q23"/>
    <mergeCell ref="S23:V23"/>
    <mergeCell ref="X23:AA23"/>
    <mergeCell ref="B25:Q25"/>
    <mergeCell ref="S25:V25"/>
    <mergeCell ref="X25:AA25"/>
    <mergeCell ref="B26:Q26"/>
    <mergeCell ref="S26:V26"/>
    <mergeCell ref="X26:AA26"/>
    <mergeCell ref="B28:Q28"/>
    <mergeCell ref="S28:V28"/>
    <mergeCell ref="X28:AA28"/>
    <mergeCell ref="B30:Q30"/>
    <mergeCell ref="S30:V30"/>
    <mergeCell ref="X30:AA30"/>
    <mergeCell ref="B31:Q31"/>
    <mergeCell ref="S31:V31"/>
    <mergeCell ref="X31:AA31"/>
    <mergeCell ref="B32:Q32"/>
    <mergeCell ref="S32:V32"/>
    <mergeCell ref="X32:AA32"/>
    <mergeCell ref="B33:Q33"/>
    <mergeCell ref="S33:V33"/>
    <mergeCell ref="X33:AA33"/>
    <mergeCell ref="B56:Q56"/>
    <mergeCell ref="S56:AA56"/>
    <mergeCell ref="B54:Q54"/>
    <mergeCell ref="S54:AA54"/>
    <mergeCell ref="B55:Q55"/>
    <mergeCell ref="S55:AA55"/>
    <mergeCell ref="B35:Q35"/>
    <mergeCell ref="S35:AA35"/>
    <mergeCell ref="B39:Q39"/>
    <mergeCell ref="S39:AA39"/>
    <mergeCell ref="AC36:AF36"/>
    <mergeCell ref="B37:Q37"/>
    <mergeCell ref="S37:AA37"/>
    <mergeCell ref="AC37:AF37"/>
    <mergeCell ref="S44:V51"/>
    <mergeCell ref="S40:AA40"/>
    <mergeCell ref="B40:Q40"/>
    <mergeCell ref="B36:Q36"/>
    <mergeCell ref="S36:AA36"/>
    <mergeCell ref="H9:AA9"/>
    <mergeCell ref="H10:AA10"/>
    <mergeCell ref="H11:AA11"/>
    <mergeCell ref="J12:AA12"/>
    <mergeCell ref="H4:AA4"/>
    <mergeCell ref="H5:AA5"/>
    <mergeCell ref="H6:AA6"/>
    <mergeCell ref="H7:AA7"/>
    <mergeCell ref="H8:AA8"/>
    <mergeCell ref="B12:I12"/>
  </mergeCells>
  <conditionalFormatting sqref="S17:V17 H6:H8 S39">
    <cfRule type="expression" dxfId="39" priority="947">
      <formula>IF(OR(H6="--Select--",ISBLANK(H6)),TRUE,FALSE)</formula>
    </cfRule>
  </conditionalFormatting>
  <conditionalFormatting sqref="S18:V19">
    <cfRule type="expression" dxfId="38" priority="856">
      <formula>IF(OR(S18="--Select--",ISBLANK(S18)),TRUE,FALSE)</formula>
    </cfRule>
  </conditionalFormatting>
  <conditionalFormatting sqref="X17:AA17">
    <cfRule type="expression" dxfId="37" priority="345">
      <formula>IF(OR(X17="--Select--",ISBLANK(X17)),TRUE,FALSE)</formula>
    </cfRule>
  </conditionalFormatting>
  <conditionalFormatting sqref="S23:V23">
    <cfRule type="expression" dxfId="36" priority="29">
      <formula>IF(OR(S23="--Select--",ISBLANK(S23)),TRUE,FALSE)</formula>
    </cfRule>
  </conditionalFormatting>
  <conditionalFormatting sqref="S25:V26">
    <cfRule type="expression" dxfId="35" priority="28">
      <formula>IF(OR(S25="--Select--",ISBLANK(S25)),TRUE,FALSE)</formula>
    </cfRule>
  </conditionalFormatting>
  <conditionalFormatting sqref="X25:AA26">
    <cfRule type="expression" dxfId="34" priority="27">
      <formula>IF(OR(X25="--Select--",ISBLANK(X25)),TRUE,FALSE)</formula>
    </cfRule>
  </conditionalFormatting>
  <conditionalFormatting sqref="S28:V28">
    <cfRule type="expression" dxfId="33" priority="25">
      <formula>IF(OR(S28="--Select--",ISBLANK(S28)),TRUE,FALSE)</formula>
    </cfRule>
  </conditionalFormatting>
  <conditionalFormatting sqref="J12">
    <cfRule type="expression" dxfId="32" priority="24">
      <formula>IF(OR(J12="--Select--",ISBLANK(J12)),TRUE,FALSE)</formula>
    </cfRule>
  </conditionalFormatting>
  <conditionalFormatting sqref="H10">
    <cfRule type="expression" dxfId="31" priority="23">
      <formula>IF(OR(H10="--Select--",ISBLANK(H10)),TRUE,FALSE)</formula>
    </cfRule>
  </conditionalFormatting>
  <conditionalFormatting sqref="X28:AA28">
    <cfRule type="expression" dxfId="30" priority="21">
      <formula>IF(OR(X28="--Select--",ISBLANK(X28)),TRUE,FALSE)</formula>
    </cfRule>
  </conditionalFormatting>
  <conditionalFormatting sqref="H4">
    <cfRule type="expression" dxfId="29" priority="20">
      <formula>IF(OR(H4="--Select--",ISBLANK(H4)),TRUE,FALSE)</formula>
    </cfRule>
  </conditionalFormatting>
  <conditionalFormatting sqref="H5">
    <cfRule type="expression" dxfId="28" priority="17">
      <formula>IF(OR(H5="--Select--",ISBLANK(H5)),TRUE,FALSE)</formula>
    </cfRule>
  </conditionalFormatting>
  <conditionalFormatting sqref="X18:AA19">
    <cfRule type="expression" dxfId="27" priority="16">
      <formula>IF(OR(X18="--Select--",ISBLANK(X18)),TRUE,FALSE)</formula>
    </cfRule>
  </conditionalFormatting>
  <conditionalFormatting sqref="X23:AA23">
    <cfRule type="expression" dxfId="26" priority="14">
      <formula>IF(OR(X23="--Select--",ISBLANK(X23)),TRUE,FALSE)</formula>
    </cfRule>
  </conditionalFormatting>
  <conditionalFormatting sqref="X23:AA23">
    <cfRule type="expression" dxfId="25" priority="8">
      <formula>IF(OR(X23="--Select--",ISBLANK(X23)),TRUE,FALSE)</formula>
    </cfRule>
  </conditionalFormatting>
  <conditionalFormatting sqref="H9">
    <cfRule type="expression" dxfId="24" priority="6">
      <formula>IF(OR(H9="--Select--",ISBLANK(H9)),TRUE,FALSE)</formula>
    </cfRule>
  </conditionalFormatting>
  <pageMargins left="0.7" right="0.7" top="0.75" bottom="0.75" header="0.3" footer="0.3"/>
  <pageSetup orientation="portrait" r:id="rId1"/>
  <ignoredErrors>
    <ignoredError sqref="X18:AA23" unlockedFormula="1"/>
  </ignoredErrors>
  <extLst>
    <ext xmlns:x14="http://schemas.microsoft.com/office/spreadsheetml/2009/9/main" uri="{78C0D931-6437-407d-A8EE-F0AAD7539E65}">
      <x14:conditionalFormattings>
        <x14:conditionalFormatting xmlns:xm="http://schemas.microsoft.com/office/excel/2006/main">
          <x14:cfRule type="expression" priority="1" id="{562F450E-1A4A-4F13-AF00-9DE29D6998EB}">
            <xm:f>OR(Summary!$P$23="--Select--", Summary!$P$23&lt;5, Summary!$P$12="--Select--",Summary!$P$12="Re-Conductor Only")</xm:f>
            <x14:dxf>
              <fill>
                <patternFill>
                  <bgColor theme="1"/>
                </patternFill>
              </fill>
            </x14:dxf>
          </x14:cfRule>
          <xm:sqref>A1:XFD1048576</xm:sqref>
        </x14:conditionalFormatting>
      </x14:conditionalFormattings>
    </ext>
    <ext xmlns:x14="http://schemas.microsoft.com/office/spreadsheetml/2009/9/main" uri="{CCE6A557-97BC-4b89-ADB6-D9C93CAAB3DF}">
      <x14:dataValidations xmlns:xm="http://schemas.microsoft.com/office/excel/2006/main" count="2">
        <x14:dataValidation type="list" allowBlank="1" showInputMessage="1" showErrorMessage="1">
          <x14:formula1>
            <xm:f>Lists!$L$2:$L$4</xm:f>
          </x14:formula1>
          <xm:sqref>H10</xm:sqref>
        </x14:dataValidation>
        <x14:dataValidation type="list" allowBlank="1" showInputMessage="1" showErrorMessage="1">
          <x14:formula1>
            <xm:f>Lists!$J$2:$J$6</xm:f>
          </x14:formula1>
          <xm:sqref>H9</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Z58"/>
  <sheetViews>
    <sheetView showGridLines="0" zoomScaleNormal="100" workbookViewId="0">
      <selection activeCell="H4" sqref="H4:AA4"/>
    </sheetView>
  </sheetViews>
  <sheetFormatPr defaultColWidth="3.5703125" defaultRowHeight="18.75" customHeight="1" x14ac:dyDescent="0.25"/>
  <sheetData>
    <row r="1" spans="1:78" ht="18.75" customHeight="1" x14ac:dyDescent="0.3">
      <c r="A1" s="95"/>
      <c r="B1" s="94" t="s">
        <v>522</v>
      </c>
      <c r="C1" s="95"/>
      <c r="D1" s="95"/>
      <c r="E1" s="95"/>
      <c r="F1" s="95"/>
      <c r="G1" s="95"/>
      <c r="H1" s="95"/>
      <c r="I1" s="95"/>
      <c r="J1" s="95"/>
      <c r="K1" s="95"/>
      <c r="L1" s="95"/>
      <c r="M1" s="95"/>
      <c r="N1" s="95"/>
      <c r="O1" s="95"/>
      <c r="P1" s="95"/>
      <c r="Q1" s="95"/>
      <c r="R1" s="95"/>
      <c r="S1" s="95"/>
      <c r="T1" s="95"/>
      <c r="U1" s="95"/>
      <c r="V1" s="95"/>
      <c r="W1" s="95"/>
      <c r="X1" s="95"/>
      <c r="Y1" s="95"/>
      <c r="Z1" s="95"/>
      <c r="AA1" s="95"/>
      <c r="AB1" s="95"/>
      <c r="AC1" s="95"/>
      <c r="AD1" s="95"/>
      <c r="AE1" s="95"/>
      <c r="AF1" s="95"/>
      <c r="AG1" s="95"/>
      <c r="AH1" s="95"/>
      <c r="AI1" s="95"/>
      <c r="AJ1" s="95"/>
      <c r="AK1" s="95"/>
      <c r="AL1" s="95"/>
      <c r="AM1" s="95"/>
      <c r="AN1" s="95"/>
      <c r="AO1" s="95"/>
      <c r="AP1" s="95"/>
      <c r="AQ1" s="95"/>
      <c r="AR1" s="95"/>
      <c r="AS1" s="95"/>
      <c r="AT1" s="95"/>
      <c r="AU1" s="95"/>
      <c r="AV1" s="95"/>
      <c r="AW1" s="95"/>
      <c r="AX1" s="95"/>
      <c r="AY1" s="95"/>
      <c r="AZ1" s="95"/>
      <c r="BA1" s="95"/>
      <c r="BB1" s="95"/>
      <c r="BC1" s="95"/>
      <c r="BD1" s="95"/>
      <c r="BE1" s="95"/>
      <c r="BF1" s="95"/>
      <c r="BG1" s="95"/>
      <c r="BH1" s="95"/>
      <c r="BI1" s="95"/>
      <c r="BJ1" s="95"/>
      <c r="BK1" s="95"/>
      <c r="BL1" s="95"/>
      <c r="BM1" s="95"/>
      <c r="BN1" s="95"/>
      <c r="BO1" s="95"/>
      <c r="BP1" s="95"/>
      <c r="BQ1" s="95"/>
      <c r="BR1" s="95"/>
      <c r="BS1" s="95"/>
      <c r="BT1" s="95"/>
      <c r="BU1" s="95"/>
      <c r="BV1" s="95"/>
      <c r="BW1" s="95"/>
      <c r="BX1" s="95"/>
      <c r="BY1" s="95"/>
      <c r="BZ1" s="95"/>
    </row>
    <row r="2" spans="1:78" ht="18.75" customHeight="1" x14ac:dyDescent="0.25">
      <c r="D2" s="2"/>
      <c r="E2" s="2"/>
      <c r="F2" s="2"/>
      <c r="G2" s="2"/>
      <c r="H2" s="2"/>
      <c r="I2" s="2"/>
      <c r="AC2" s="302" t="s">
        <v>391</v>
      </c>
      <c r="AD2" s="302"/>
      <c r="AE2" s="302"/>
      <c r="AF2" s="302"/>
      <c r="AG2" s="302"/>
      <c r="AH2" s="302"/>
      <c r="AI2" s="302"/>
    </row>
    <row r="3" spans="1:78" ht="18.75" customHeight="1" x14ac:dyDescent="0.25">
      <c r="B3" s="2"/>
      <c r="C3" s="2"/>
      <c r="D3" s="2"/>
      <c r="E3" s="2"/>
      <c r="F3" s="2"/>
      <c r="G3" s="2"/>
      <c r="AC3" s="380" t="s">
        <v>392</v>
      </c>
      <c r="AD3" s="380"/>
      <c r="AE3" s="380"/>
      <c r="AF3" s="380"/>
      <c r="AG3" s="380"/>
      <c r="AH3" s="380"/>
      <c r="AI3" s="380"/>
    </row>
    <row r="4" spans="1:78" ht="18.75" customHeight="1" x14ac:dyDescent="0.25">
      <c r="B4" s="162" t="s">
        <v>455</v>
      </c>
      <c r="C4" s="162"/>
      <c r="D4" s="162"/>
      <c r="E4" s="162"/>
      <c r="F4" s="162"/>
      <c r="G4" s="162"/>
      <c r="H4" s="172"/>
      <c r="I4" s="172"/>
      <c r="J4" s="172"/>
      <c r="K4" s="172"/>
      <c r="L4" s="172"/>
      <c r="M4" s="172"/>
      <c r="N4" s="172"/>
      <c r="O4" s="172"/>
      <c r="P4" s="172"/>
      <c r="Q4" s="172"/>
      <c r="R4" s="172"/>
      <c r="S4" s="172"/>
      <c r="T4" s="172"/>
      <c r="U4" s="172"/>
      <c r="V4" s="172"/>
      <c r="W4" s="172"/>
      <c r="X4" s="172"/>
      <c r="Y4" s="172"/>
      <c r="Z4" s="172"/>
      <c r="AA4" s="172"/>
      <c r="AC4" s="381" t="s">
        <v>393</v>
      </c>
      <c r="AD4" s="381"/>
      <c r="AE4" s="381"/>
      <c r="AF4" s="381"/>
      <c r="AG4" s="381"/>
      <c r="AH4" s="381"/>
      <c r="AI4" s="381"/>
    </row>
    <row r="5" spans="1:78" ht="18.75" customHeight="1" x14ac:dyDescent="0.25">
      <c r="B5" s="162" t="s">
        <v>67</v>
      </c>
      <c r="C5" s="162"/>
      <c r="D5" s="162"/>
      <c r="E5" s="162"/>
      <c r="F5" s="162"/>
      <c r="G5" s="162"/>
      <c r="H5" s="175"/>
      <c r="I5" s="175"/>
      <c r="J5" s="175"/>
      <c r="K5" s="175"/>
      <c r="L5" s="175"/>
      <c r="M5" s="175"/>
      <c r="N5" s="175"/>
      <c r="O5" s="175"/>
      <c r="P5" s="175"/>
      <c r="Q5" s="175"/>
      <c r="R5" s="175"/>
      <c r="S5" s="175"/>
      <c r="T5" s="175"/>
      <c r="U5" s="175"/>
      <c r="V5" s="175"/>
      <c r="W5" s="175"/>
      <c r="X5" s="175"/>
      <c r="Y5" s="175"/>
      <c r="Z5" s="175"/>
      <c r="AA5" s="175"/>
    </row>
    <row r="6" spans="1:78" ht="18.75" customHeight="1" x14ac:dyDescent="0.25">
      <c r="B6" s="162" t="s">
        <v>468</v>
      </c>
      <c r="C6" s="162"/>
      <c r="D6" s="162"/>
      <c r="E6" s="162"/>
      <c r="F6" s="162"/>
      <c r="G6" s="162"/>
      <c r="H6" s="175"/>
      <c r="I6" s="175"/>
      <c r="J6" s="175"/>
      <c r="K6" s="175"/>
      <c r="L6" s="175"/>
      <c r="M6" s="175"/>
      <c r="N6" s="175"/>
      <c r="O6" s="175"/>
      <c r="P6" s="175"/>
      <c r="Q6" s="175"/>
      <c r="R6" s="175"/>
      <c r="S6" s="175"/>
      <c r="T6" s="175"/>
      <c r="U6" s="175"/>
      <c r="V6" s="175"/>
      <c r="W6" s="175"/>
      <c r="X6" s="175"/>
      <c r="Y6" s="175"/>
      <c r="Z6" s="175"/>
      <c r="AA6" s="175"/>
      <c r="AL6" s="2"/>
    </row>
    <row r="7" spans="1:78" ht="18.75" customHeight="1" x14ac:dyDescent="0.25">
      <c r="B7" s="162" t="s">
        <v>12</v>
      </c>
      <c r="C7" s="162"/>
      <c r="D7" s="162"/>
      <c r="E7" s="162"/>
      <c r="F7" s="162"/>
      <c r="G7" s="162"/>
      <c r="H7" s="175"/>
      <c r="I7" s="175"/>
      <c r="J7" s="175"/>
      <c r="K7" s="175"/>
      <c r="L7" s="175"/>
      <c r="M7" s="175"/>
      <c r="N7" s="175"/>
      <c r="O7" s="175"/>
      <c r="P7" s="175"/>
      <c r="Q7" s="175"/>
      <c r="R7" s="175"/>
      <c r="S7" s="175"/>
      <c r="T7" s="175"/>
      <c r="U7" s="175"/>
      <c r="V7" s="175"/>
      <c r="W7" s="175"/>
      <c r="X7" s="175"/>
      <c r="Y7" s="175"/>
      <c r="Z7" s="175"/>
      <c r="AA7" s="175"/>
      <c r="AF7" s="8"/>
      <c r="AG7" s="8"/>
      <c r="AH7" s="8"/>
      <c r="AI7" s="2"/>
      <c r="AJ7" s="2"/>
      <c r="AK7" s="2"/>
      <c r="AL7" s="2"/>
    </row>
    <row r="8" spans="1:78" ht="18.75" customHeight="1" x14ac:dyDescent="0.25">
      <c r="B8" s="162" t="s">
        <v>13</v>
      </c>
      <c r="C8" s="162"/>
      <c r="D8" s="162"/>
      <c r="E8" s="162"/>
      <c r="F8" s="162"/>
      <c r="G8" s="162"/>
      <c r="H8" s="175"/>
      <c r="I8" s="175"/>
      <c r="J8" s="175"/>
      <c r="K8" s="175"/>
      <c r="L8" s="175"/>
      <c r="M8" s="175"/>
      <c r="N8" s="175"/>
      <c r="O8" s="175"/>
      <c r="P8" s="175"/>
      <c r="Q8" s="175"/>
      <c r="R8" s="175"/>
      <c r="S8" s="175"/>
      <c r="T8" s="175"/>
      <c r="U8" s="175"/>
      <c r="V8" s="175"/>
      <c r="W8" s="175"/>
      <c r="X8" s="175"/>
      <c r="Y8" s="175"/>
      <c r="Z8" s="175"/>
      <c r="AA8" s="175"/>
      <c r="AF8" s="8"/>
      <c r="AG8" s="8"/>
      <c r="AH8" s="8"/>
      <c r="AI8" s="2"/>
      <c r="AJ8" s="2"/>
      <c r="AK8" s="2"/>
      <c r="AL8" s="2"/>
    </row>
    <row r="9" spans="1:78" ht="18.75" customHeight="1" x14ac:dyDescent="0.25">
      <c r="B9" s="162" t="s">
        <v>48</v>
      </c>
      <c r="C9" s="162"/>
      <c r="D9" s="162"/>
      <c r="E9" s="162"/>
      <c r="F9" s="162"/>
      <c r="G9" s="162"/>
      <c r="H9" s="175" t="s">
        <v>3</v>
      </c>
      <c r="I9" s="175"/>
      <c r="J9" s="175"/>
      <c r="K9" s="175"/>
      <c r="L9" s="175"/>
      <c r="M9" s="175"/>
      <c r="N9" s="175"/>
      <c r="O9" s="175"/>
      <c r="P9" s="175"/>
      <c r="Q9" s="175"/>
      <c r="R9" s="175"/>
      <c r="S9" s="175"/>
      <c r="T9" s="175"/>
      <c r="U9" s="175"/>
      <c r="V9" s="175"/>
      <c r="W9" s="175"/>
      <c r="X9" s="175"/>
      <c r="Y9" s="175"/>
      <c r="Z9" s="175"/>
      <c r="AA9" s="175"/>
      <c r="AF9" s="3"/>
      <c r="AG9" s="4"/>
      <c r="AH9" s="3"/>
      <c r="AI9" s="3"/>
      <c r="AJ9" s="3"/>
      <c r="AK9" s="3"/>
      <c r="AL9" s="2"/>
    </row>
    <row r="10" spans="1:78" ht="18.75" customHeight="1" x14ac:dyDescent="0.25">
      <c r="B10" s="162" t="s">
        <v>425</v>
      </c>
      <c r="C10" s="162"/>
      <c r="D10" s="162"/>
      <c r="E10" s="162"/>
      <c r="F10" s="162"/>
      <c r="G10" s="162"/>
      <c r="H10" s="172" t="s">
        <v>3</v>
      </c>
      <c r="I10" s="172"/>
      <c r="J10" s="172"/>
      <c r="K10" s="172"/>
      <c r="L10" s="172"/>
      <c r="M10" s="172"/>
      <c r="N10" s="172"/>
      <c r="O10" s="172"/>
      <c r="P10" s="172"/>
      <c r="Q10" s="172"/>
      <c r="R10" s="172"/>
      <c r="S10" s="172"/>
      <c r="T10" s="172"/>
      <c r="U10" s="172"/>
      <c r="V10" s="172"/>
      <c r="W10" s="172"/>
      <c r="X10" s="172"/>
      <c r="Y10" s="172"/>
      <c r="Z10" s="172"/>
      <c r="AA10" s="172"/>
      <c r="AF10" s="3"/>
      <c r="AG10" s="4"/>
      <c r="AI10" s="2"/>
      <c r="AJ10" s="2"/>
      <c r="AK10" s="3"/>
      <c r="AL10" s="2"/>
    </row>
    <row r="11" spans="1:78" ht="18.75" customHeight="1" x14ac:dyDescent="0.25">
      <c r="B11" s="162" t="s">
        <v>14</v>
      </c>
      <c r="C11" s="162"/>
      <c r="D11" s="162"/>
      <c r="E11" s="162"/>
      <c r="F11" s="162"/>
      <c r="G11" s="162"/>
      <c r="H11" s="399" t="str">
        <f>IF(H10="New Construction","UUDTR95006",IF(H10="Retrofit","UUDTR85006",""))</f>
        <v/>
      </c>
      <c r="I11" s="399"/>
      <c r="J11" s="399"/>
      <c r="K11" s="399"/>
      <c r="L11" s="399"/>
      <c r="M11" s="399"/>
      <c r="N11" s="399"/>
      <c r="O11" s="399"/>
      <c r="P11" s="399"/>
      <c r="Q11" s="399"/>
      <c r="R11" s="399"/>
      <c r="S11" s="399"/>
      <c r="T11" s="399"/>
      <c r="U11" s="399"/>
      <c r="V11" s="399"/>
      <c r="W11" s="399"/>
      <c r="X11" s="399"/>
      <c r="Y11" s="399"/>
      <c r="Z11" s="399"/>
      <c r="AA11" s="399"/>
    </row>
    <row r="12" spans="1:78" ht="18.75" customHeight="1" x14ac:dyDescent="0.25">
      <c r="B12" s="162" t="s">
        <v>480</v>
      </c>
      <c r="C12" s="162"/>
      <c r="D12" s="162"/>
      <c r="E12" s="162"/>
      <c r="F12" s="162"/>
      <c r="G12" s="162"/>
      <c r="H12" s="162"/>
      <c r="I12" s="162"/>
      <c r="J12" s="328" t="str">
        <f ca="1">IF(OR(ISBLANK($H$5),H10="--Select--"),"",OFFSET(Lists!$AI$1,MATCH(H11,Lists!$AA$2:$AA$4,FALSE),MATCH($H$5,Lists!$AJ$1:$BA$1,1)))</f>
        <v/>
      </c>
      <c r="K12" s="328"/>
      <c r="L12" s="328"/>
      <c r="M12" s="328"/>
      <c r="N12" s="328"/>
      <c r="O12" s="328"/>
      <c r="P12" s="328"/>
      <c r="Q12" s="328"/>
      <c r="R12" s="328"/>
      <c r="S12" s="328"/>
      <c r="T12" s="328"/>
      <c r="U12" s="328"/>
      <c r="V12" s="328"/>
      <c r="W12" s="328"/>
      <c r="X12" s="328"/>
      <c r="Y12" s="328"/>
      <c r="Z12" s="328"/>
      <c r="AA12" s="328"/>
    </row>
    <row r="13" spans="1:78" ht="18.75" customHeight="1" thickBot="1" x14ac:dyDescent="0.3">
      <c r="B13" s="2"/>
      <c r="C13" s="2"/>
      <c r="D13" s="2"/>
      <c r="E13" s="2"/>
      <c r="F13" s="2"/>
      <c r="G13" s="2"/>
      <c r="H13" s="2"/>
      <c r="I13" s="2"/>
    </row>
    <row r="14" spans="1:78" ht="18.75" customHeight="1" x14ac:dyDescent="0.25">
      <c r="E14" s="2"/>
      <c r="G14" s="2"/>
      <c r="H14" s="2"/>
      <c r="I14" s="2"/>
      <c r="S14" s="309" t="s">
        <v>22</v>
      </c>
      <c r="T14" s="310"/>
      <c r="U14" s="310"/>
      <c r="V14" s="311"/>
      <c r="X14" s="309" t="s">
        <v>30</v>
      </c>
      <c r="Y14" s="310"/>
      <c r="Z14" s="310"/>
      <c r="AA14" s="311"/>
    </row>
    <row r="15" spans="1:78" ht="18.75" customHeight="1" thickBot="1" x14ac:dyDescent="0.3">
      <c r="C15" s="2"/>
      <c r="D15" s="2"/>
      <c r="E15" s="2"/>
      <c r="F15" s="2"/>
      <c r="G15" s="2"/>
      <c r="H15" s="2"/>
      <c r="I15" s="2"/>
      <c r="J15" s="2"/>
      <c r="S15" s="312"/>
      <c r="T15" s="313"/>
      <c r="U15" s="313"/>
      <c r="V15" s="314"/>
      <c r="X15" s="312"/>
      <c r="Y15" s="313"/>
      <c r="Z15" s="313"/>
      <c r="AA15" s="314"/>
    </row>
    <row r="16" spans="1:78" s="119" customFormat="1" ht="18.75" customHeight="1" x14ac:dyDescent="0.3">
      <c r="B16" s="390" t="s">
        <v>690</v>
      </c>
      <c r="C16" s="391"/>
      <c r="D16" s="391"/>
      <c r="E16" s="391"/>
      <c r="F16" s="391"/>
      <c r="G16" s="391"/>
      <c r="H16" s="391"/>
      <c r="I16" s="391"/>
      <c r="J16" s="391"/>
      <c r="K16" s="391"/>
      <c r="L16" s="391"/>
      <c r="M16" s="391"/>
      <c r="N16" s="391"/>
      <c r="O16" s="391"/>
      <c r="P16" s="391"/>
      <c r="Q16" s="392"/>
      <c r="S16" s="393"/>
      <c r="T16" s="394"/>
      <c r="U16" s="394"/>
      <c r="V16" s="395"/>
      <c r="X16" s="396">
        <v>1</v>
      </c>
      <c r="Y16" s="397"/>
      <c r="Z16" s="397"/>
      <c r="AA16" s="398"/>
    </row>
    <row r="17" spans="2:58" ht="18.75" customHeight="1" x14ac:dyDescent="0.25">
      <c r="B17" s="256" t="s">
        <v>676</v>
      </c>
      <c r="C17" s="256"/>
      <c r="D17" s="256"/>
      <c r="E17" s="256"/>
      <c r="F17" s="256"/>
      <c r="G17" s="256"/>
      <c r="H17" s="256"/>
      <c r="I17" s="256"/>
      <c r="J17" s="256"/>
      <c r="K17" s="256"/>
      <c r="L17" s="256"/>
      <c r="M17" s="256"/>
      <c r="N17" s="256"/>
      <c r="O17" s="256"/>
      <c r="P17" s="256"/>
      <c r="Q17" s="256"/>
      <c r="S17" s="400"/>
      <c r="T17" s="400"/>
      <c r="U17" s="400"/>
      <c r="V17" s="400"/>
      <c r="W17" s="33"/>
      <c r="X17" s="400"/>
      <c r="Y17" s="400"/>
      <c r="Z17" s="400"/>
      <c r="AA17" s="400"/>
      <c r="AC17" s="2"/>
      <c r="AL17" s="2"/>
      <c r="AM17" s="2"/>
      <c r="AN17" s="2"/>
    </row>
    <row r="18" spans="2:58" ht="18.75" customHeight="1" x14ac:dyDescent="0.25">
      <c r="B18" s="256" t="s">
        <v>674</v>
      </c>
      <c r="C18" s="256"/>
      <c r="D18" s="256"/>
      <c r="E18" s="256"/>
      <c r="F18" s="256"/>
      <c r="G18" s="256"/>
      <c r="H18" s="256"/>
      <c r="I18" s="256"/>
      <c r="J18" s="256"/>
      <c r="K18" s="256"/>
      <c r="L18" s="256"/>
      <c r="M18" s="256"/>
      <c r="N18" s="256"/>
      <c r="O18" s="256"/>
      <c r="P18" s="256"/>
      <c r="Q18" s="256"/>
      <c r="S18" s="400"/>
      <c r="T18" s="400"/>
      <c r="U18" s="400"/>
      <c r="V18" s="400"/>
      <c r="W18" s="33"/>
      <c r="X18" s="407">
        <f>S18</f>
        <v>0</v>
      </c>
      <c r="Y18" s="408"/>
      <c r="Z18" s="408"/>
      <c r="AA18" s="409"/>
      <c r="AC18" s="343" t="s">
        <v>670</v>
      </c>
      <c r="AD18" s="344"/>
      <c r="AE18" s="344"/>
      <c r="AF18" s="344"/>
      <c r="AG18" s="344"/>
      <c r="AH18" s="344"/>
      <c r="AI18" s="344"/>
      <c r="AJ18" s="344"/>
      <c r="AK18" s="344"/>
      <c r="AL18" s="345"/>
      <c r="AM18" s="2"/>
      <c r="AN18" s="2"/>
    </row>
    <row r="19" spans="2:58" ht="18.75" customHeight="1" x14ac:dyDescent="0.25">
      <c r="B19" s="256" t="s">
        <v>675</v>
      </c>
      <c r="C19" s="256"/>
      <c r="D19" s="256"/>
      <c r="E19" s="256"/>
      <c r="F19" s="256"/>
      <c r="G19" s="256"/>
      <c r="H19" s="256"/>
      <c r="I19" s="256"/>
      <c r="J19" s="256"/>
      <c r="K19" s="256"/>
      <c r="L19" s="256"/>
      <c r="M19" s="256"/>
      <c r="N19" s="256"/>
      <c r="O19" s="256"/>
      <c r="P19" s="256"/>
      <c r="Q19" s="256"/>
      <c r="S19" s="400"/>
      <c r="T19" s="400"/>
      <c r="U19" s="400"/>
      <c r="V19" s="400"/>
      <c r="W19" s="33"/>
      <c r="X19" s="407">
        <f>S19</f>
        <v>0</v>
      </c>
      <c r="Y19" s="408"/>
      <c r="Z19" s="408"/>
      <c r="AA19" s="409"/>
      <c r="AC19" s="346"/>
      <c r="AD19" s="347"/>
      <c r="AE19" s="347"/>
      <c r="AF19" s="347"/>
      <c r="AG19" s="347"/>
      <c r="AH19" s="347"/>
      <c r="AI19" s="347"/>
      <c r="AJ19" s="347"/>
      <c r="AK19" s="347"/>
      <c r="AL19" s="348"/>
      <c r="AM19" s="2"/>
      <c r="AN19" s="2"/>
    </row>
    <row r="20" spans="2:58" ht="18.75" customHeight="1" x14ac:dyDescent="0.25">
      <c r="B20" s="256" t="s">
        <v>49</v>
      </c>
      <c r="C20" s="256"/>
      <c r="D20" s="256"/>
      <c r="E20" s="256"/>
      <c r="F20" s="256"/>
      <c r="G20" s="256"/>
      <c r="H20" s="256"/>
      <c r="I20" s="256"/>
      <c r="J20" s="256"/>
      <c r="K20" s="256"/>
      <c r="L20" s="256"/>
      <c r="M20" s="256"/>
      <c r="N20" s="256"/>
      <c r="O20" s="256"/>
      <c r="P20" s="256"/>
      <c r="Q20" s="256"/>
      <c r="S20" s="417" t="str">
        <f>IFERROR($S$19/$S$18,"")</f>
        <v/>
      </c>
      <c r="T20" s="418"/>
      <c r="U20" s="418"/>
      <c r="V20" s="419"/>
      <c r="W20" s="33"/>
      <c r="X20" s="414" t="str">
        <f>IFERROR($X$19/$X$18,"")</f>
        <v/>
      </c>
      <c r="Y20" s="415"/>
      <c r="Z20" s="415"/>
      <c r="AA20" s="416"/>
      <c r="AC20" s="349"/>
      <c r="AD20" s="350"/>
      <c r="AE20" s="350"/>
      <c r="AF20" s="350"/>
      <c r="AG20" s="350"/>
      <c r="AH20" s="350"/>
      <c r="AI20" s="350"/>
      <c r="AJ20" s="350"/>
      <c r="AK20" s="350"/>
      <c r="AL20" s="351"/>
      <c r="AM20" s="66"/>
      <c r="AN20" s="66"/>
      <c r="AO20" s="66"/>
      <c r="AP20" s="66"/>
      <c r="AQ20" s="66"/>
      <c r="AR20" s="66"/>
      <c r="AS20" s="66"/>
      <c r="AT20" s="66"/>
      <c r="AU20" s="66"/>
      <c r="AV20" s="66"/>
      <c r="AW20" s="66"/>
      <c r="AX20" s="66"/>
      <c r="AY20" s="66"/>
      <c r="AZ20" s="66"/>
      <c r="BA20" s="66"/>
      <c r="BB20" s="66"/>
      <c r="BC20" s="66"/>
      <c r="BD20" s="66"/>
      <c r="BE20" s="66"/>
      <c r="BF20" s="66"/>
    </row>
    <row r="21" spans="2:58" ht="18.75" customHeight="1" x14ac:dyDescent="0.25">
      <c r="B21" s="2"/>
      <c r="C21" s="2"/>
      <c r="D21" s="2"/>
      <c r="S21" s="32"/>
      <c r="T21" s="32"/>
      <c r="U21" s="32"/>
      <c r="V21" s="32"/>
      <c r="W21" s="32"/>
      <c r="X21" s="2"/>
      <c r="Y21" s="2"/>
      <c r="AC21" s="2"/>
      <c r="AE21" s="17"/>
      <c r="AI21" s="2"/>
      <c r="AL21" s="2"/>
      <c r="AM21" s="2"/>
      <c r="AN21" s="2"/>
      <c r="AT21" s="2"/>
    </row>
    <row r="22" spans="2:58" ht="18.75" customHeight="1" x14ac:dyDescent="0.25">
      <c r="B22" s="256" t="s">
        <v>470</v>
      </c>
      <c r="C22" s="256"/>
      <c r="D22" s="256"/>
      <c r="E22" s="256"/>
      <c r="F22" s="256"/>
      <c r="G22" s="256"/>
      <c r="H22" s="256"/>
      <c r="I22" s="256"/>
      <c r="J22" s="256"/>
      <c r="K22" s="256"/>
      <c r="L22" s="256"/>
      <c r="M22" s="256"/>
      <c r="N22" s="256"/>
      <c r="O22" s="256"/>
      <c r="P22" s="256"/>
      <c r="Q22" s="256"/>
      <c r="S22" s="417" t="str">
        <f>IFERROR($S$20^2*0.85+$S$20*0.15,"")</f>
        <v/>
      </c>
      <c r="T22" s="418"/>
      <c r="U22" s="418"/>
      <c r="V22" s="419"/>
      <c r="W22" s="33"/>
      <c r="X22" s="414" t="str">
        <f>IFERROR(0.85*X20^2+0.15*X20,"")</f>
        <v/>
      </c>
      <c r="Y22" s="415"/>
      <c r="Z22" s="415"/>
      <c r="AA22" s="416"/>
      <c r="AC22" s="2"/>
      <c r="AE22" s="17"/>
      <c r="AL22" s="2"/>
      <c r="AM22" s="2"/>
      <c r="AN22" s="2"/>
    </row>
    <row r="23" spans="2:58" ht="18.75" customHeight="1" x14ac:dyDescent="0.25">
      <c r="B23" s="256" t="s">
        <v>50</v>
      </c>
      <c r="C23" s="256"/>
      <c r="D23" s="256"/>
      <c r="E23" s="256"/>
      <c r="F23" s="256"/>
      <c r="G23" s="256"/>
      <c r="H23" s="256"/>
      <c r="I23" s="256"/>
      <c r="J23" s="256"/>
      <c r="K23" s="256"/>
      <c r="L23" s="256"/>
      <c r="M23" s="256"/>
      <c r="N23" s="256"/>
      <c r="O23" s="256"/>
      <c r="P23" s="256"/>
      <c r="Q23" s="256"/>
      <c r="S23" s="400"/>
      <c r="T23" s="400"/>
      <c r="U23" s="400"/>
      <c r="V23" s="400"/>
      <c r="W23" s="33"/>
      <c r="X23" s="407">
        <f>S23</f>
        <v>0</v>
      </c>
      <c r="Y23" s="408"/>
      <c r="Z23" s="408"/>
      <c r="AA23" s="409"/>
      <c r="AC23" s="2"/>
      <c r="AL23" s="2"/>
      <c r="AM23" s="2"/>
      <c r="AN23" s="2"/>
    </row>
    <row r="24" spans="2:58" ht="18.75" customHeight="1" x14ac:dyDescent="0.25">
      <c r="B24" s="2"/>
      <c r="C24" s="2"/>
      <c r="D24" s="2"/>
      <c r="S24" s="32"/>
      <c r="T24" s="32"/>
      <c r="U24" s="32"/>
      <c r="V24" s="32"/>
      <c r="X24" s="2"/>
      <c r="Y24" s="2"/>
      <c r="AC24" s="2"/>
      <c r="AI24" s="2"/>
      <c r="AL24" s="2"/>
      <c r="AM24" s="2"/>
      <c r="AN24" s="2"/>
    </row>
    <row r="25" spans="2:58" ht="18.75" customHeight="1" x14ac:dyDescent="0.25">
      <c r="B25" s="256" t="s">
        <v>678</v>
      </c>
      <c r="C25" s="256"/>
      <c r="D25" s="256"/>
      <c r="E25" s="256"/>
      <c r="F25" s="256"/>
      <c r="G25" s="256"/>
      <c r="H25" s="256"/>
      <c r="I25" s="256"/>
      <c r="J25" s="256"/>
      <c r="K25" s="256"/>
      <c r="L25" s="256"/>
      <c r="M25" s="256"/>
      <c r="N25" s="256"/>
      <c r="O25" s="256"/>
      <c r="P25" s="256"/>
      <c r="Q25" s="256"/>
      <c r="S25" s="255"/>
      <c r="T25" s="255"/>
      <c r="U25" s="255"/>
      <c r="V25" s="255"/>
      <c r="X25" s="255"/>
      <c r="Y25" s="255"/>
      <c r="Z25" s="255"/>
      <c r="AA25" s="255"/>
      <c r="AC25" s="2"/>
    </row>
    <row r="26" spans="2:58" ht="18.75" customHeight="1" x14ac:dyDescent="0.25">
      <c r="B26" s="256" t="s">
        <v>677</v>
      </c>
      <c r="C26" s="256"/>
      <c r="D26" s="256"/>
      <c r="E26" s="256"/>
      <c r="F26" s="256"/>
      <c r="G26" s="256"/>
      <c r="H26" s="256"/>
      <c r="I26" s="256"/>
      <c r="J26" s="256"/>
      <c r="K26" s="256"/>
      <c r="L26" s="256"/>
      <c r="M26" s="256"/>
      <c r="N26" s="256"/>
      <c r="O26" s="256"/>
      <c r="P26" s="256"/>
      <c r="Q26" s="256"/>
      <c r="S26" s="255"/>
      <c r="T26" s="255"/>
      <c r="U26" s="255"/>
      <c r="V26" s="255"/>
      <c r="X26" s="255"/>
      <c r="Y26" s="255"/>
      <c r="Z26" s="255"/>
      <c r="AA26" s="255"/>
      <c r="AC26" s="2"/>
    </row>
    <row r="27" spans="2:58" ht="18.75" customHeight="1" x14ac:dyDescent="0.25">
      <c r="B27" s="2"/>
      <c r="C27" s="2"/>
      <c r="S27" s="32"/>
      <c r="T27" s="32"/>
      <c r="U27" s="32"/>
      <c r="V27" s="32"/>
      <c r="X27" s="8"/>
      <c r="Y27" s="2"/>
      <c r="AC27" s="2"/>
    </row>
    <row r="28" spans="2:58" ht="18.75" customHeight="1" x14ac:dyDescent="0.25">
      <c r="B28" s="256" t="s">
        <v>51</v>
      </c>
      <c r="C28" s="256"/>
      <c r="D28" s="256"/>
      <c r="E28" s="256"/>
      <c r="F28" s="256"/>
      <c r="G28" s="256"/>
      <c r="H28" s="256"/>
      <c r="I28" s="256"/>
      <c r="J28" s="256"/>
      <c r="K28" s="256"/>
      <c r="L28" s="256"/>
      <c r="M28" s="256"/>
      <c r="N28" s="256"/>
      <c r="O28" s="256"/>
      <c r="P28" s="256"/>
      <c r="Q28" s="256"/>
      <c r="S28" s="410" t="s">
        <v>492</v>
      </c>
      <c r="T28" s="410"/>
      <c r="U28" s="410"/>
      <c r="V28" s="410"/>
      <c r="X28" s="410" t="s">
        <v>492</v>
      </c>
      <c r="Y28" s="410"/>
      <c r="Z28" s="410"/>
      <c r="AA28" s="410"/>
      <c r="AC28" s="2"/>
    </row>
    <row r="29" spans="2:58" ht="18.75" customHeight="1" x14ac:dyDescent="0.25">
      <c r="B29" s="2"/>
      <c r="C29" s="2"/>
      <c r="S29" s="32"/>
      <c r="T29" s="32"/>
      <c r="U29" s="32"/>
      <c r="V29" s="32"/>
      <c r="X29" s="2"/>
      <c r="Y29" s="2"/>
      <c r="AC29" s="2"/>
    </row>
    <row r="30" spans="2:58" ht="18.75" customHeight="1" x14ac:dyDescent="0.25">
      <c r="B30" s="256" t="s">
        <v>438</v>
      </c>
      <c r="C30" s="256"/>
      <c r="D30" s="256"/>
      <c r="E30" s="256"/>
      <c r="F30" s="256"/>
      <c r="G30" s="256"/>
      <c r="H30" s="256"/>
      <c r="I30" s="256"/>
      <c r="J30" s="256"/>
      <c r="K30" s="256"/>
      <c r="L30" s="256"/>
      <c r="M30" s="256"/>
      <c r="N30" s="256"/>
      <c r="O30" s="256"/>
      <c r="P30" s="256"/>
      <c r="Q30" s="256"/>
      <c r="S30" s="401" t="str">
        <f>IFERROR($S$26*($S$18/$S$17)^2,"")</f>
        <v/>
      </c>
      <c r="T30" s="402"/>
      <c r="U30" s="402"/>
      <c r="V30" s="403"/>
      <c r="X30" s="420" t="str">
        <f>IFERROR($X$26*($X$18/X17)^2,"")</f>
        <v/>
      </c>
      <c r="Y30" s="421"/>
      <c r="Z30" s="421"/>
      <c r="AA30" s="422"/>
      <c r="AC30" s="2"/>
    </row>
    <row r="31" spans="2:58" ht="18.75" customHeight="1" x14ac:dyDescent="0.25">
      <c r="B31" s="256" t="s">
        <v>439</v>
      </c>
      <c r="C31" s="256"/>
      <c r="D31" s="256"/>
      <c r="E31" s="256"/>
      <c r="F31" s="256"/>
      <c r="G31" s="256"/>
      <c r="H31" s="256"/>
      <c r="I31" s="256"/>
      <c r="J31" s="256"/>
      <c r="K31" s="256"/>
      <c r="L31" s="256"/>
      <c r="M31" s="256"/>
      <c r="N31" s="256"/>
      <c r="O31" s="256"/>
      <c r="P31" s="256"/>
      <c r="Q31" s="256"/>
      <c r="S31" s="404">
        <f>IFERROR($S$25*$S$23,"")</f>
        <v>0</v>
      </c>
      <c r="T31" s="405"/>
      <c r="U31" s="405"/>
      <c r="V31" s="406"/>
      <c r="X31" s="423">
        <f>IFERROR($X$25*$X$23,"")</f>
        <v>0</v>
      </c>
      <c r="Y31" s="424"/>
      <c r="Z31" s="424"/>
      <c r="AA31" s="425"/>
      <c r="AC31" s="2"/>
    </row>
    <row r="32" spans="2:58" ht="18.75" customHeight="1" x14ac:dyDescent="0.25">
      <c r="B32" s="256" t="s">
        <v>440</v>
      </c>
      <c r="C32" s="256"/>
      <c r="D32" s="256"/>
      <c r="E32" s="256"/>
      <c r="F32" s="256"/>
      <c r="G32" s="256"/>
      <c r="H32" s="256"/>
      <c r="I32" s="256"/>
      <c r="J32" s="256"/>
      <c r="K32" s="256"/>
      <c r="L32" s="256"/>
      <c r="M32" s="256"/>
      <c r="N32" s="256"/>
      <c r="O32" s="256"/>
      <c r="P32" s="256"/>
      <c r="Q32" s="256"/>
      <c r="S32" s="404" t="str">
        <f>IFERROR($S$30*$S$22*$S$23,"")</f>
        <v/>
      </c>
      <c r="T32" s="405"/>
      <c r="U32" s="405"/>
      <c r="V32" s="406"/>
      <c r="X32" s="423" t="str">
        <f>IFERROR($X$30*$X$22*$X$23,"")</f>
        <v/>
      </c>
      <c r="Y32" s="424"/>
      <c r="Z32" s="424"/>
      <c r="AA32" s="425"/>
      <c r="AC32" s="2"/>
    </row>
    <row r="33" spans="2:38" ht="18.75" customHeight="1" x14ac:dyDescent="0.25">
      <c r="B33" s="256" t="s">
        <v>699</v>
      </c>
      <c r="C33" s="256"/>
      <c r="D33" s="256"/>
      <c r="E33" s="256"/>
      <c r="F33" s="256"/>
      <c r="G33" s="256"/>
      <c r="H33" s="256"/>
      <c r="I33" s="256"/>
      <c r="J33" s="256"/>
      <c r="K33" s="256"/>
      <c r="L33" s="256"/>
      <c r="M33" s="256"/>
      <c r="N33" s="256"/>
      <c r="O33" s="256"/>
      <c r="P33" s="256"/>
      <c r="Q33" s="256"/>
      <c r="S33" s="404">
        <f>IFERROR(SUM(S31:V32),"")</f>
        <v>0</v>
      </c>
      <c r="T33" s="405"/>
      <c r="U33" s="405"/>
      <c r="V33" s="406"/>
      <c r="X33" s="423">
        <f>SUM(X31:AA32)</f>
        <v>0</v>
      </c>
      <c r="Y33" s="424"/>
      <c r="Z33" s="424"/>
      <c r="AA33" s="425"/>
    </row>
    <row r="34" spans="2:38" s="119" customFormat="1" ht="18.75" customHeight="1" thickBot="1" x14ac:dyDescent="0.3"/>
    <row r="35" spans="2:38" ht="18.75" customHeight="1" thickBot="1" x14ac:dyDescent="0.3">
      <c r="B35" s="280" t="s">
        <v>700</v>
      </c>
      <c r="C35" s="281"/>
      <c r="D35" s="281"/>
      <c r="E35" s="281"/>
      <c r="F35" s="281"/>
      <c r="G35" s="281"/>
      <c r="H35" s="281"/>
      <c r="I35" s="281"/>
      <c r="J35" s="281"/>
      <c r="K35" s="281"/>
      <c r="L35" s="281"/>
      <c r="M35" s="281"/>
      <c r="N35" s="281"/>
      <c r="O35" s="281"/>
      <c r="P35" s="281"/>
      <c r="Q35" s="282"/>
      <c r="R35" s="119"/>
      <c r="S35" s="283">
        <f>IFERROR(($S$33-$X$33),"")</f>
        <v>0</v>
      </c>
      <c r="T35" s="284"/>
      <c r="U35" s="284"/>
      <c r="V35" s="284"/>
      <c r="W35" s="284"/>
      <c r="X35" s="284"/>
      <c r="Y35" s="284"/>
      <c r="Z35" s="284"/>
      <c r="AA35" s="285"/>
    </row>
    <row r="36" spans="2:38" ht="18.75" customHeight="1" thickBot="1" x14ac:dyDescent="0.3">
      <c r="B36" s="280" t="s">
        <v>485</v>
      </c>
      <c r="C36" s="281"/>
      <c r="D36" s="281"/>
      <c r="E36" s="281"/>
      <c r="F36" s="281"/>
      <c r="G36" s="281"/>
      <c r="H36" s="281"/>
      <c r="I36" s="281"/>
      <c r="J36" s="281"/>
      <c r="K36" s="281"/>
      <c r="L36" s="281"/>
      <c r="M36" s="281"/>
      <c r="N36" s="281"/>
      <c r="O36" s="281"/>
      <c r="P36" s="281"/>
      <c r="Q36" s="282"/>
      <c r="S36" s="283">
        <f>IFERROR(($S$33-$X$33)*$X$16,"")</f>
        <v>0</v>
      </c>
      <c r="T36" s="284"/>
      <c r="U36" s="284"/>
      <c r="V36" s="284"/>
      <c r="W36" s="284"/>
      <c r="X36" s="284"/>
      <c r="Y36" s="284"/>
      <c r="Z36" s="284"/>
      <c r="AA36" s="285"/>
      <c r="AC36" s="373" t="s">
        <v>487</v>
      </c>
      <c r="AD36" s="374"/>
      <c r="AE36" s="374"/>
      <c r="AF36" s="375"/>
      <c r="AL36" s="5"/>
    </row>
    <row r="37" spans="2:38" ht="18.75" customHeight="1" thickBot="1" x14ac:dyDescent="0.3">
      <c r="B37" s="280" t="s">
        <v>486</v>
      </c>
      <c r="C37" s="281"/>
      <c r="D37" s="281"/>
      <c r="E37" s="281"/>
      <c r="F37" s="281"/>
      <c r="G37" s="281"/>
      <c r="H37" s="281"/>
      <c r="I37" s="281"/>
      <c r="J37" s="281"/>
      <c r="K37" s="281"/>
      <c r="L37" s="281"/>
      <c r="M37" s="281"/>
      <c r="N37" s="281"/>
      <c r="O37" s="281"/>
      <c r="P37" s="281"/>
      <c r="Q37" s="282"/>
      <c r="S37" s="283">
        <f>IFERROR(S36*AC37,"")</f>
        <v>0</v>
      </c>
      <c r="T37" s="284"/>
      <c r="U37" s="284"/>
      <c r="V37" s="284"/>
      <c r="W37" s="284"/>
      <c r="X37" s="284"/>
      <c r="Y37" s="284"/>
      <c r="Z37" s="284"/>
      <c r="AA37" s="285"/>
      <c r="AC37" s="376">
        <v>1.09056</v>
      </c>
      <c r="AD37" s="377"/>
      <c r="AE37" s="377"/>
      <c r="AF37" s="378"/>
      <c r="AL37" s="5"/>
    </row>
    <row r="38" spans="2:38" s="119" customFormat="1" ht="18.75" customHeight="1" thickBot="1" x14ac:dyDescent="0.3"/>
    <row r="39" spans="2:38" ht="18.75" customHeight="1" thickBot="1" x14ac:dyDescent="0.3">
      <c r="B39" s="287" t="s">
        <v>701</v>
      </c>
      <c r="C39" s="288"/>
      <c r="D39" s="288"/>
      <c r="E39" s="288"/>
      <c r="F39" s="288"/>
      <c r="G39" s="288"/>
      <c r="H39" s="288"/>
      <c r="I39" s="288"/>
      <c r="J39" s="288"/>
      <c r="K39" s="288"/>
      <c r="L39" s="288"/>
      <c r="M39" s="288"/>
      <c r="N39" s="288"/>
      <c r="O39" s="288"/>
      <c r="P39" s="288"/>
      <c r="Q39" s="289"/>
      <c r="R39" s="119"/>
      <c r="S39" s="252"/>
      <c r="T39" s="253"/>
      <c r="U39" s="253"/>
      <c r="V39" s="253"/>
      <c r="W39" s="253"/>
      <c r="X39" s="253"/>
      <c r="Y39" s="253"/>
      <c r="Z39" s="253"/>
      <c r="AA39" s="254"/>
    </row>
    <row r="40" spans="2:38" ht="18.75" customHeight="1" thickBot="1" x14ac:dyDescent="0.3">
      <c r="B40" s="287" t="s">
        <v>539</v>
      </c>
      <c r="C40" s="288"/>
      <c r="D40" s="288"/>
      <c r="E40" s="288"/>
      <c r="F40" s="288"/>
      <c r="G40" s="288"/>
      <c r="H40" s="288"/>
      <c r="I40" s="288"/>
      <c r="J40" s="288"/>
      <c r="K40" s="288"/>
      <c r="L40" s="288"/>
      <c r="M40" s="288"/>
      <c r="N40" s="288"/>
      <c r="O40" s="288"/>
      <c r="P40" s="288"/>
      <c r="Q40" s="289"/>
      <c r="S40" s="437">
        <f>$S$39*$X$16</f>
        <v>0</v>
      </c>
      <c r="T40" s="438"/>
      <c r="U40" s="438"/>
      <c r="V40" s="438"/>
      <c r="W40" s="438"/>
      <c r="X40" s="438"/>
      <c r="Y40" s="438"/>
      <c r="Z40" s="438"/>
      <c r="AA40" s="439"/>
    </row>
    <row r="42" spans="2:38" ht="18.75" customHeight="1" x14ac:dyDescent="0.25">
      <c r="B42" s="5" t="s">
        <v>515</v>
      </c>
    </row>
    <row r="43" spans="2:38" ht="18.75" customHeight="1" x14ac:dyDescent="0.25">
      <c r="B43" t="s">
        <v>493</v>
      </c>
      <c r="C43" s="5"/>
      <c r="D43" s="2"/>
    </row>
    <row r="44" spans="2:38" ht="18.75" customHeight="1" thickBot="1" x14ac:dyDescent="0.3">
      <c r="B44" s="69" t="s">
        <v>479</v>
      </c>
      <c r="C44" s="70"/>
      <c r="D44" s="70"/>
      <c r="E44" s="70"/>
      <c r="F44" s="70"/>
      <c r="G44" s="70"/>
      <c r="H44" s="70"/>
      <c r="I44" s="70"/>
      <c r="J44" s="70"/>
      <c r="K44" s="70"/>
      <c r="L44" s="70"/>
      <c r="M44" s="70"/>
      <c r="N44" s="74"/>
      <c r="O44" s="70"/>
      <c r="P44" s="70"/>
      <c r="Q44" s="70"/>
      <c r="R44" s="70"/>
      <c r="S44" s="248" t="s">
        <v>476</v>
      </c>
      <c r="T44" s="248"/>
      <c r="U44" s="248"/>
      <c r="V44" s="249"/>
    </row>
    <row r="45" spans="2:38" ht="18.75" customHeight="1" x14ac:dyDescent="0.25">
      <c r="B45" s="71" t="s">
        <v>475</v>
      </c>
      <c r="C45" s="72"/>
      <c r="D45" s="72"/>
      <c r="E45" s="72"/>
      <c r="F45" s="72"/>
      <c r="G45" s="72"/>
      <c r="H45" s="72"/>
      <c r="I45" s="72"/>
      <c r="J45" s="72"/>
      <c r="K45" s="72"/>
      <c r="L45" s="72"/>
      <c r="M45" s="72"/>
      <c r="N45" s="72"/>
      <c r="O45" s="72"/>
      <c r="P45" s="72"/>
      <c r="Q45" s="72"/>
      <c r="R45" s="72"/>
      <c r="S45" s="250"/>
      <c r="T45" s="250"/>
      <c r="U45" s="250"/>
      <c r="V45" s="251"/>
    </row>
    <row r="46" spans="2:38" ht="18.75" customHeight="1" x14ac:dyDescent="0.25">
      <c r="B46" s="71" t="s">
        <v>477</v>
      </c>
      <c r="C46" s="72"/>
      <c r="D46" s="72"/>
      <c r="E46" s="72"/>
      <c r="F46" s="72"/>
      <c r="G46" s="72"/>
      <c r="H46" s="72"/>
      <c r="I46" s="72"/>
      <c r="J46" s="72"/>
      <c r="K46" s="72"/>
      <c r="L46" s="72"/>
      <c r="M46" s="72"/>
      <c r="N46" s="72"/>
      <c r="O46" s="72"/>
      <c r="P46" s="72"/>
      <c r="Q46" s="72"/>
      <c r="R46" s="72"/>
      <c r="S46" s="250"/>
      <c r="T46" s="250"/>
      <c r="U46" s="250"/>
      <c r="V46" s="251"/>
    </row>
    <row r="47" spans="2:38" ht="18.75" customHeight="1" thickBot="1" x14ac:dyDescent="0.3">
      <c r="B47" s="71" t="s">
        <v>473</v>
      </c>
      <c r="C47" s="72"/>
      <c r="D47" s="72"/>
      <c r="E47" s="72"/>
      <c r="F47" s="72"/>
      <c r="G47" s="72"/>
      <c r="H47" s="72"/>
      <c r="I47" s="72"/>
      <c r="J47" s="72"/>
      <c r="K47" s="72"/>
      <c r="L47" s="72"/>
      <c r="M47" s="72"/>
      <c r="N47" s="72"/>
      <c r="O47" s="72"/>
      <c r="P47" s="72"/>
      <c r="Q47" s="72"/>
      <c r="R47" s="72"/>
      <c r="S47" s="250"/>
      <c r="T47" s="250"/>
      <c r="U47" s="250"/>
      <c r="V47" s="251"/>
      <c r="X47" s="32"/>
    </row>
    <row r="48" spans="2:38" ht="18.75" customHeight="1" thickBot="1" x14ac:dyDescent="0.3">
      <c r="B48" s="73" t="s">
        <v>478</v>
      </c>
      <c r="C48" s="72"/>
      <c r="D48" s="72"/>
      <c r="E48" s="72"/>
      <c r="F48" s="72"/>
      <c r="G48" s="72"/>
      <c r="H48" s="72"/>
      <c r="I48" s="72"/>
      <c r="J48" s="72"/>
      <c r="K48" s="72"/>
      <c r="L48" s="72"/>
      <c r="M48" s="72"/>
      <c r="N48" s="72"/>
      <c r="O48" s="72"/>
      <c r="P48" s="72"/>
      <c r="Q48" s="72"/>
      <c r="R48" s="72"/>
      <c r="S48" s="250"/>
      <c r="T48" s="250"/>
      <c r="U48" s="250"/>
      <c r="V48" s="251"/>
      <c r="X48" s="63"/>
      <c r="AC48" s="63"/>
      <c r="AH48" s="63"/>
    </row>
    <row r="49" spans="1:27" ht="18.75" customHeight="1" x14ac:dyDescent="0.25">
      <c r="B49" s="71" t="s">
        <v>474</v>
      </c>
      <c r="C49" s="72"/>
      <c r="D49" s="72"/>
      <c r="E49" s="72"/>
      <c r="F49" s="72"/>
      <c r="G49" s="72"/>
      <c r="H49" s="72"/>
      <c r="I49" s="72"/>
      <c r="J49" s="72"/>
      <c r="K49" s="72"/>
      <c r="L49" s="72"/>
      <c r="M49" s="72"/>
      <c r="N49" s="72"/>
      <c r="O49" s="72"/>
      <c r="P49" s="72"/>
      <c r="Q49" s="72"/>
      <c r="R49" s="72"/>
      <c r="S49" s="250"/>
      <c r="T49" s="250"/>
      <c r="U49" s="250"/>
      <c r="V49" s="251"/>
    </row>
    <row r="50" spans="1:27" ht="18.75" customHeight="1" x14ac:dyDescent="0.25">
      <c r="B50" s="71" t="s">
        <v>488</v>
      </c>
      <c r="C50" s="72"/>
      <c r="D50" s="72"/>
      <c r="E50" s="72"/>
      <c r="F50" s="72"/>
      <c r="G50" s="72"/>
      <c r="H50" s="72"/>
      <c r="I50" s="72"/>
      <c r="J50" s="72"/>
      <c r="K50" s="72"/>
      <c r="L50" s="72"/>
      <c r="M50" s="72"/>
      <c r="N50" s="72"/>
      <c r="O50" s="72"/>
      <c r="P50" s="72"/>
      <c r="Q50" s="72"/>
      <c r="R50" s="72"/>
      <c r="S50" s="250"/>
      <c r="T50" s="250"/>
      <c r="U50" s="250"/>
      <c r="V50" s="251"/>
    </row>
    <row r="51" spans="1:27" ht="18.75" customHeight="1" x14ac:dyDescent="0.25">
      <c r="B51" s="73" t="s">
        <v>489</v>
      </c>
      <c r="C51" s="72"/>
      <c r="D51" s="72"/>
      <c r="E51" s="72"/>
      <c r="F51" s="72"/>
      <c r="G51" s="72"/>
      <c r="H51" s="72"/>
      <c r="I51" s="72"/>
      <c r="J51" s="72"/>
      <c r="K51" s="72"/>
      <c r="L51" s="72"/>
      <c r="M51" s="72"/>
      <c r="N51" s="72"/>
      <c r="O51" s="72"/>
      <c r="P51" s="72"/>
      <c r="Q51" s="72"/>
      <c r="R51" s="72"/>
      <c r="S51" s="250"/>
      <c r="T51" s="250"/>
      <c r="U51" s="250"/>
      <c r="V51" s="251"/>
    </row>
    <row r="52" spans="1:27" ht="18.75" customHeight="1" x14ac:dyDescent="0.25">
      <c r="B52" s="75" t="s">
        <v>490</v>
      </c>
      <c r="C52" s="62"/>
      <c r="D52" s="62"/>
      <c r="E52" s="62"/>
      <c r="F52" s="62"/>
      <c r="G52" s="62"/>
      <c r="H52" s="62"/>
      <c r="I52" s="62"/>
      <c r="J52" s="62"/>
      <c r="K52" s="62"/>
      <c r="L52" s="62"/>
      <c r="M52" s="62"/>
      <c r="N52" s="62"/>
      <c r="O52" s="62"/>
      <c r="P52" s="62"/>
      <c r="Q52" s="62"/>
      <c r="R52" s="62"/>
      <c r="S52" s="62"/>
      <c r="T52" s="62"/>
      <c r="U52" s="62"/>
      <c r="V52" s="76"/>
    </row>
    <row r="53" spans="1:27" ht="18.75" customHeight="1" thickBot="1" x14ac:dyDescent="0.3">
      <c r="B53" s="146" t="s">
        <v>689</v>
      </c>
    </row>
    <row r="54" spans="1:27" ht="18.75" customHeight="1" thickBot="1" x14ac:dyDescent="0.3">
      <c r="B54" s="287" t="s">
        <v>410</v>
      </c>
      <c r="C54" s="288"/>
      <c r="D54" s="288"/>
      <c r="E54" s="288"/>
      <c r="F54" s="288"/>
      <c r="G54" s="288"/>
      <c r="H54" s="288"/>
      <c r="I54" s="288"/>
      <c r="J54" s="288"/>
      <c r="K54" s="288"/>
      <c r="L54" s="288"/>
      <c r="M54" s="288"/>
      <c r="N54" s="288"/>
      <c r="O54" s="288"/>
      <c r="P54" s="288"/>
      <c r="Q54" s="289"/>
      <c r="S54" s="277" t="str">
        <f ca="1">IFERROR(IF(S40&lt;0,0,IF(S37*J12&lt;(0.7*$S$40),S37*J12,0.7*$S$40)),"")</f>
        <v/>
      </c>
      <c r="T54" s="278"/>
      <c r="U54" s="278"/>
      <c r="V54" s="278"/>
      <c r="W54" s="278"/>
      <c r="X54" s="278"/>
      <c r="Y54" s="278"/>
      <c r="Z54" s="278"/>
      <c r="AA54" s="279"/>
    </row>
    <row r="55" spans="1:27" ht="18.75" customHeight="1" thickBot="1" x14ac:dyDescent="0.3">
      <c r="B55" s="287" t="s">
        <v>411</v>
      </c>
      <c r="C55" s="288"/>
      <c r="D55" s="288"/>
      <c r="E55" s="288"/>
      <c r="F55" s="288"/>
      <c r="G55" s="288"/>
      <c r="H55" s="288"/>
      <c r="I55" s="288"/>
      <c r="J55" s="288"/>
      <c r="K55" s="288"/>
      <c r="L55" s="288"/>
      <c r="M55" s="288"/>
      <c r="N55" s="288"/>
      <c r="O55" s="288"/>
      <c r="P55" s="288"/>
      <c r="Q55" s="289"/>
      <c r="S55" s="277" t="str">
        <f ca="1">IFERROR(S54*Summary!$M$18,"")</f>
        <v/>
      </c>
      <c r="T55" s="278"/>
      <c r="U55" s="278"/>
      <c r="V55" s="278"/>
      <c r="W55" s="278"/>
      <c r="X55" s="278"/>
      <c r="Y55" s="278"/>
      <c r="Z55" s="278"/>
      <c r="AA55" s="279"/>
    </row>
    <row r="56" spans="1:27" ht="18.75" customHeight="1" thickBot="1" x14ac:dyDescent="0.3">
      <c r="B56" s="287" t="s">
        <v>412</v>
      </c>
      <c r="C56" s="288"/>
      <c r="D56" s="288"/>
      <c r="E56" s="288"/>
      <c r="F56" s="288"/>
      <c r="G56" s="288"/>
      <c r="H56" s="288"/>
      <c r="I56" s="288"/>
      <c r="J56" s="288"/>
      <c r="K56" s="288"/>
      <c r="L56" s="288"/>
      <c r="M56" s="288"/>
      <c r="N56" s="288"/>
      <c r="O56" s="288"/>
      <c r="P56" s="288"/>
      <c r="Q56" s="289"/>
      <c r="S56" s="277" t="str">
        <f ca="1">IFERROR(S54*Summary!$M$19,"")</f>
        <v/>
      </c>
      <c r="T56" s="278"/>
      <c r="U56" s="278"/>
      <c r="V56" s="278"/>
      <c r="W56" s="278"/>
      <c r="X56" s="278"/>
      <c r="Y56" s="278"/>
      <c r="Z56" s="278"/>
      <c r="AA56" s="279"/>
    </row>
    <row r="58" spans="1:27" ht="18.75" customHeight="1" x14ac:dyDescent="0.25">
      <c r="A58" s="68" t="s">
        <v>484</v>
      </c>
    </row>
  </sheetData>
  <sheetProtection password="BD7D" sheet="1" scenarios="1"/>
  <mergeCells count="85">
    <mergeCell ref="B19:Q19"/>
    <mergeCell ref="S19:V19"/>
    <mergeCell ref="X19:AA19"/>
    <mergeCell ref="B20:Q20"/>
    <mergeCell ref="S20:V20"/>
    <mergeCell ref="X20:AA20"/>
    <mergeCell ref="B16:Q16"/>
    <mergeCell ref="S16:V16"/>
    <mergeCell ref="X16:AA16"/>
    <mergeCell ref="X17:AA17"/>
    <mergeCell ref="B18:Q18"/>
    <mergeCell ref="S18:V18"/>
    <mergeCell ref="X18:AA18"/>
    <mergeCell ref="AC18:AL20"/>
    <mergeCell ref="AC2:AI2"/>
    <mergeCell ref="AC3:AI3"/>
    <mergeCell ref="AC4:AI4"/>
    <mergeCell ref="B4:G4"/>
    <mergeCell ref="B6:G6"/>
    <mergeCell ref="B7:G7"/>
    <mergeCell ref="B5:G5"/>
    <mergeCell ref="B8:G8"/>
    <mergeCell ref="B9:G9"/>
    <mergeCell ref="S14:V15"/>
    <mergeCell ref="X14:AA15"/>
    <mergeCell ref="B17:Q17"/>
    <mergeCell ref="S17:V17"/>
    <mergeCell ref="B10:G10"/>
    <mergeCell ref="B11:G11"/>
    <mergeCell ref="B22:Q22"/>
    <mergeCell ref="S22:V22"/>
    <mergeCell ref="X22:AA22"/>
    <mergeCell ref="B23:Q23"/>
    <mergeCell ref="S23:V23"/>
    <mergeCell ref="X23:AA23"/>
    <mergeCell ref="B25:Q25"/>
    <mergeCell ref="S25:V25"/>
    <mergeCell ref="X25:AA25"/>
    <mergeCell ref="B26:Q26"/>
    <mergeCell ref="S26:V26"/>
    <mergeCell ref="X26:AA26"/>
    <mergeCell ref="B28:Q28"/>
    <mergeCell ref="S28:V28"/>
    <mergeCell ref="X28:AA28"/>
    <mergeCell ref="B30:Q30"/>
    <mergeCell ref="S30:V30"/>
    <mergeCell ref="X30:AA30"/>
    <mergeCell ref="B31:Q31"/>
    <mergeCell ref="S31:V31"/>
    <mergeCell ref="X31:AA31"/>
    <mergeCell ref="B32:Q32"/>
    <mergeCell ref="S32:V32"/>
    <mergeCell ref="X32:AA32"/>
    <mergeCell ref="B33:Q33"/>
    <mergeCell ref="S33:V33"/>
    <mergeCell ref="X33:AA33"/>
    <mergeCell ref="B56:Q56"/>
    <mergeCell ref="S56:AA56"/>
    <mergeCell ref="B54:Q54"/>
    <mergeCell ref="S54:AA54"/>
    <mergeCell ref="B55:Q55"/>
    <mergeCell ref="S55:AA55"/>
    <mergeCell ref="B35:Q35"/>
    <mergeCell ref="S35:AA35"/>
    <mergeCell ref="B39:Q39"/>
    <mergeCell ref="S39:AA39"/>
    <mergeCell ref="AC36:AF36"/>
    <mergeCell ref="B37:Q37"/>
    <mergeCell ref="S37:AA37"/>
    <mergeCell ref="AC37:AF37"/>
    <mergeCell ref="S44:V51"/>
    <mergeCell ref="B40:Q40"/>
    <mergeCell ref="S40:AA40"/>
    <mergeCell ref="B36:Q36"/>
    <mergeCell ref="S36:AA36"/>
    <mergeCell ref="H9:AA9"/>
    <mergeCell ref="H10:AA10"/>
    <mergeCell ref="H11:AA11"/>
    <mergeCell ref="J12:AA12"/>
    <mergeCell ref="H4:AA4"/>
    <mergeCell ref="H5:AA5"/>
    <mergeCell ref="H6:AA6"/>
    <mergeCell ref="H7:AA7"/>
    <mergeCell ref="H8:AA8"/>
    <mergeCell ref="B12:I12"/>
  </mergeCells>
  <conditionalFormatting sqref="S17:V17 H6:H8 S39">
    <cfRule type="expression" dxfId="22" priority="959">
      <formula>IF(OR(H6="--Select--",ISBLANK(H6)),TRUE,FALSE)</formula>
    </cfRule>
  </conditionalFormatting>
  <conditionalFormatting sqref="S18:V19">
    <cfRule type="expression" dxfId="21" priority="863">
      <formula>IF(OR(S18="--Select--",ISBLANK(S18)),TRUE,FALSE)</formula>
    </cfRule>
  </conditionalFormatting>
  <conditionalFormatting sqref="X17:AA17">
    <cfRule type="expression" dxfId="20" priority="347">
      <formula>IF(OR(X17="--Select--",ISBLANK(X17)),TRUE,FALSE)</formula>
    </cfRule>
  </conditionalFormatting>
  <conditionalFormatting sqref="S23:V23">
    <cfRule type="expression" dxfId="19" priority="29">
      <formula>IF(OR(S23="--Select--",ISBLANK(S23)),TRUE,FALSE)</formula>
    </cfRule>
  </conditionalFormatting>
  <conditionalFormatting sqref="S25:V26">
    <cfRule type="expression" dxfId="18" priority="28">
      <formula>IF(OR(S25="--Select--",ISBLANK(S25)),TRUE,FALSE)</formula>
    </cfRule>
  </conditionalFormatting>
  <conditionalFormatting sqref="X25:AA26">
    <cfRule type="expression" dxfId="17" priority="27">
      <formula>IF(OR(X25="--Select--",ISBLANK(X25)),TRUE,FALSE)</formula>
    </cfRule>
  </conditionalFormatting>
  <conditionalFormatting sqref="S28:V28">
    <cfRule type="expression" dxfId="16" priority="25">
      <formula>IF(OR(S28="--Select--",ISBLANK(S28)),TRUE,FALSE)</formula>
    </cfRule>
  </conditionalFormatting>
  <conditionalFormatting sqref="J12">
    <cfRule type="expression" dxfId="15" priority="24">
      <formula>IF(OR(J12="--Select--",ISBLANK(J12)),TRUE,FALSE)</formula>
    </cfRule>
  </conditionalFormatting>
  <conditionalFormatting sqref="H10">
    <cfRule type="expression" dxfId="14" priority="23">
      <formula>IF(OR(H10="--Select--",ISBLANK(H10)),TRUE,FALSE)</formula>
    </cfRule>
  </conditionalFormatting>
  <conditionalFormatting sqref="X28:AA28">
    <cfRule type="expression" dxfId="13" priority="21">
      <formula>IF(OR(X28="--Select--",ISBLANK(X28)),TRUE,FALSE)</formula>
    </cfRule>
  </conditionalFormatting>
  <conditionalFormatting sqref="H4">
    <cfRule type="expression" dxfId="12" priority="20">
      <formula>IF(OR(H4="--Select--",ISBLANK(H4)),TRUE,FALSE)</formula>
    </cfRule>
  </conditionalFormatting>
  <conditionalFormatting sqref="H5">
    <cfRule type="expression" dxfId="11" priority="17">
      <formula>IF(OR(H5="--Select--",ISBLANK(H5)),TRUE,FALSE)</formula>
    </cfRule>
  </conditionalFormatting>
  <conditionalFormatting sqref="X18:AA19">
    <cfRule type="expression" dxfId="10" priority="16">
      <formula>IF(OR(X18="--Select--",ISBLANK(X18)),TRUE,FALSE)</formula>
    </cfRule>
  </conditionalFormatting>
  <conditionalFormatting sqref="X23:AA23">
    <cfRule type="expression" dxfId="9" priority="14">
      <formula>IF(OR(X23="--Select--",ISBLANK(X23)),TRUE,FALSE)</formula>
    </cfRule>
  </conditionalFormatting>
  <conditionalFormatting sqref="X23:AA23">
    <cfRule type="expression" dxfId="8" priority="8">
      <formula>IF(OR(X23="--Select--",ISBLANK(X23)),TRUE,FALSE)</formula>
    </cfRule>
  </conditionalFormatting>
  <conditionalFormatting sqref="H9">
    <cfRule type="expression" dxfId="7" priority="6">
      <formula>IF(OR(H9="--Select--",ISBLANK(H9)),TRUE,FALSE)</formula>
    </cfRule>
  </conditionalFormatting>
  <pageMargins left="0.7" right="0.7" top="0.75" bottom="0.75" header="0.3" footer="0.3"/>
  <pageSetup orientation="portrait" r:id="rId1"/>
  <ignoredErrors>
    <ignoredError sqref="X18:AA24" unlockedFormula="1"/>
  </ignoredErrors>
  <extLst>
    <ext xmlns:x14="http://schemas.microsoft.com/office/spreadsheetml/2009/9/main" uri="{78C0D931-6437-407d-A8EE-F0AAD7539E65}">
      <x14:conditionalFormattings>
        <x14:conditionalFormatting xmlns:xm="http://schemas.microsoft.com/office/excel/2006/main">
          <x14:cfRule type="expression" priority="1" id="{9EA29869-95EE-47E3-AE66-0EDD3C6F1E43}">
            <xm:f>OR(Summary!$P$23="--Select--", Summary!$P$23&lt;6, Summary!$P$12="--Select--",Summary!$P$12="Re-Conductor Only")</xm:f>
            <x14:dxf>
              <fill>
                <patternFill>
                  <bgColor theme="1"/>
                </patternFill>
              </fill>
            </x14:dxf>
          </x14:cfRule>
          <xm:sqref>A1:XFD1048576</xm:sqref>
        </x14:conditionalFormatting>
      </x14:conditionalFormattings>
    </ext>
    <ext xmlns:x14="http://schemas.microsoft.com/office/spreadsheetml/2009/9/main" uri="{CCE6A557-97BC-4b89-ADB6-D9C93CAAB3DF}">
      <x14:dataValidations xmlns:xm="http://schemas.microsoft.com/office/excel/2006/main" disablePrompts="1" count="2">
        <x14:dataValidation type="list" allowBlank="1" showInputMessage="1" showErrorMessage="1">
          <x14:formula1>
            <xm:f>Lists!$J$2:$J$6</xm:f>
          </x14:formula1>
          <xm:sqref>H9</xm:sqref>
        </x14:dataValidation>
        <x14:dataValidation type="list" allowBlank="1" showInputMessage="1" showErrorMessage="1">
          <x14:formula1>
            <xm:f>Lists!$L$2:$L$4</xm:f>
          </x14:formula1>
          <xm:sqref>H10</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workbookViewId="0">
      <selection activeCell="A8" sqref="A8"/>
    </sheetView>
  </sheetViews>
  <sheetFormatPr defaultRowHeight="15" x14ac:dyDescent="0.25"/>
  <cols>
    <col min="2" max="2" width="9.7109375" bestFit="1" customWidth="1"/>
  </cols>
  <sheetData>
    <row r="1" spans="1:2" x14ac:dyDescent="0.25">
      <c r="A1" t="s">
        <v>691</v>
      </c>
    </row>
    <row r="2" spans="1:2" x14ac:dyDescent="0.25">
      <c r="A2" t="s">
        <v>692</v>
      </c>
      <c r="B2" s="137">
        <v>44028</v>
      </c>
    </row>
    <row r="3" spans="1:2" x14ac:dyDescent="0.25">
      <c r="A3" t="s">
        <v>695</v>
      </c>
    </row>
    <row r="4" spans="1:2" x14ac:dyDescent="0.25">
      <c r="A4" t="s">
        <v>693</v>
      </c>
    </row>
    <row r="5" spans="1:2" x14ac:dyDescent="0.25">
      <c r="A5" t="s">
        <v>694</v>
      </c>
    </row>
    <row r="6" spans="1:2" x14ac:dyDescent="0.25">
      <c r="A6" t="s">
        <v>698</v>
      </c>
    </row>
    <row r="7" spans="1:2" x14ac:dyDescent="0.25">
      <c r="A7" t="s">
        <v>702</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28"/>
  <sheetViews>
    <sheetView workbookViewId="0">
      <selection activeCell="L2" sqref="L2"/>
    </sheetView>
  </sheetViews>
  <sheetFormatPr defaultColWidth="3.5703125" defaultRowHeight="18.600000000000001" customHeight="1" x14ac:dyDescent="0.25"/>
  <sheetData>
    <row r="1" spans="1:27" ht="18.600000000000001" customHeight="1" x14ac:dyDescent="0.25">
      <c r="A1" s="465" t="s">
        <v>452</v>
      </c>
      <c r="B1" s="465"/>
      <c r="C1" s="465"/>
      <c r="D1" s="465"/>
      <c r="E1" s="465"/>
      <c r="F1" s="466">
        <v>1.1100000000000001</v>
      </c>
      <c r="G1" s="466"/>
      <c r="H1" s="467" t="s">
        <v>509</v>
      </c>
      <c r="I1" s="468"/>
      <c r="J1" s="468"/>
      <c r="K1" s="469"/>
      <c r="L1" s="470">
        <v>44652</v>
      </c>
      <c r="M1" s="468"/>
      <c r="N1" s="469"/>
    </row>
    <row r="2" spans="1:27" ht="18.600000000000001" customHeight="1" thickBot="1" x14ac:dyDescent="0.3"/>
    <row r="3" spans="1:27" ht="18.600000000000001" customHeight="1" thickBot="1" x14ac:dyDescent="0.3">
      <c r="A3" s="462" t="s">
        <v>683</v>
      </c>
      <c r="B3" s="463"/>
      <c r="C3" s="463"/>
      <c r="D3" s="463"/>
      <c r="E3" s="463"/>
      <c r="F3" s="463"/>
      <c r="G3" s="463"/>
      <c r="H3" s="464"/>
      <c r="I3" s="462" t="s">
        <v>465</v>
      </c>
      <c r="J3" s="463"/>
      <c r="K3" s="463"/>
      <c r="L3" s="463"/>
      <c r="M3" s="463"/>
      <c r="N3" s="463"/>
      <c r="O3" s="463"/>
      <c r="P3" s="464"/>
    </row>
    <row r="4" spans="1:27" s="119" customFormat="1" ht="18.600000000000001" customHeight="1" thickBot="1" x14ac:dyDescent="0.3">
      <c r="A4" s="462" t="s">
        <v>684</v>
      </c>
      <c r="B4" s="463"/>
      <c r="C4" s="463"/>
      <c r="D4" s="463"/>
      <c r="E4" s="463"/>
      <c r="F4" s="463"/>
      <c r="G4" s="463"/>
      <c r="H4" s="464"/>
      <c r="I4" s="462" t="s">
        <v>465</v>
      </c>
      <c r="J4" s="463"/>
      <c r="K4" s="463"/>
      <c r="L4" s="463"/>
      <c r="M4" s="463"/>
      <c r="N4" s="463"/>
      <c r="O4" s="463"/>
      <c r="P4" s="464"/>
    </row>
    <row r="6" spans="1:27" ht="18.600000000000001" customHeight="1" x14ac:dyDescent="0.25">
      <c r="A6" s="452" t="s">
        <v>419</v>
      </c>
      <c r="B6" s="452"/>
      <c r="C6" s="452"/>
      <c r="D6" s="452"/>
      <c r="E6" s="452"/>
      <c r="F6" s="452"/>
      <c r="G6" s="452"/>
      <c r="H6" s="452"/>
      <c r="I6" s="452"/>
      <c r="J6" s="452"/>
      <c r="K6" s="452"/>
      <c r="L6" s="452"/>
      <c r="M6" s="452"/>
      <c r="N6" s="452"/>
      <c r="O6" s="452"/>
      <c r="P6" s="452"/>
      <c r="Q6" s="452"/>
      <c r="R6" s="452"/>
      <c r="S6" s="452"/>
      <c r="T6" s="452"/>
      <c r="U6" s="452"/>
      <c r="V6" s="452"/>
      <c r="W6" s="452"/>
      <c r="X6" s="452"/>
      <c r="Y6" s="452"/>
      <c r="Z6" s="452"/>
      <c r="AA6" s="452"/>
    </row>
    <row r="7" spans="1:27" ht="18.600000000000001" customHeight="1" x14ac:dyDescent="0.25">
      <c r="A7" s="449" t="s">
        <v>673</v>
      </c>
      <c r="B7" s="449"/>
      <c r="C7" s="449"/>
      <c r="D7" s="449"/>
      <c r="E7" s="449"/>
      <c r="F7" s="449"/>
      <c r="G7" s="449"/>
      <c r="H7" s="450"/>
      <c r="I7" s="450"/>
      <c r="J7" s="450"/>
      <c r="K7" s="450"/>
      <c r="L7" s="450"/>
      <c r="M7" s="450"/>
      <c r="N7" s="450"/>
      <c r="O7" s="450"/>
      <c r="P7" s="450"/>
      <c r="Q7" s="449" t="s">
        <v>668</v>
      </c>
      <c r="R7" s="449"/>
      <c r="S7" s="449"/>
      <c r="T7" s="449"/>
      <c r="U7" s="449"/>
      <c r="V7" s="451"/>
      <c r="W7" s="451"/>
      <c r="X7" s="451"/>
      <c r="Y7" s="451"/>
      <c r="Z7" s="451"/>
      <c r="AA7" s="451"/>
    </row>
    <row r="8" spans="1:27" ht="18.600000000000001" customHeight="1" thickBot="1" x14ac:dyDescent="0.3"/>
    <row r="9" spans="1:27" s="119" customFormat="1" ht="18.600000000000001" customHeight="1" x14ac:dyDescent="0.25">
      <c r="A9" s="453"/>
      <c r="B9" s="454"/>
      <c r="C9" s="454"/>
      <c r="D9" s="454"/>
      <c r="E9" s="454"/>
      <c r="F9" s="454"/>
      <c r="G9" s="454"/>
      <c r="H9" s="454"/>
      <c r="I9" s="454"/>
      <c r="J9" s="454"/>
      <c r="K9" s="454"/>
      <c r="L9" s="454"/>
      <c r="M9" s="454"/>
      <c r="N9" s="454"/>
      <c r="O9" s="454"/>
      <c r="P9" s="454"/>
      <c r="Q9" s="454"/>
      <c r="R9" s="454"/>
      <c r="S9" s="454"/>
      <c r="T9" s="454"/>
      <c r="U9" s="454"/>
      <c r="V9" s="454"/>
      <c r="W9" s="454"/>
      <c r="X9" s="454"/>
      <c r="Y9" s="454"/>
      <c r="Z9" s="454"/>
      <c r="AA9" s="455"/>
    </row>
    <row r="10" spans="1:27" s="119" customFormat="1" ht="18.600000000000001" customHeight="1" x14ac:dyDescent="0.25">
      <c r="A10" s="456"/>
      <c r="B10" s="457"/>
      <c r="C10" s="457"/>
      <c r="D10" s="457"/>
      <c r="E10" s="457"/>
      <c r="F10" s="457"/>
      <c r="G10" s="457"/>
      <c r="H10" s="457"/>
      <c r="I10" s="457"/>
      <c r="J10" s="457"/>
      <c r="K10" s="457"/>
      <c r="L10" s="457"/>
      <c r="M10" s="457"/>
      <c r="N10" s="457"/>
      <c r="O10" s="457"/>
      <c r="P10" s="457"/>
      <c r="Q10" s="457"/>
      <c r="R10" s="457"/>
      <c r="S10" s="457"/>
      <c r="T10" s="457"/>
      <c r="U10" s="457"/>
      <c r="V10" s="457"/>
      <c r="W10" s="457"/>
      <c r="X10" s="457"/>
      <c r="Y10" s="457"/>
      <c r="Z10" s="457"/>
      <c r="AA10" s="458"/>
    </row>
    <row r="11" spans="1:27" s="119" customFormat="1" ht="18.600000000000001" customHeight="1" x14ac:dyDescent="0.25">
      <c r="A11" s="456"/>
      <c r="B11" s="457"/>
      <c r="C11" s="457"/>
      <c r="D11" s="457"/>
      <c r="E11" s="457"/>
      <c r="F11" s="457"/>
      <c r="G11" s="457"/>
      <c r="H11" s="457"/>
      <c r="I11" s="457"/>
      <c r="J11" s="457"/>
      <c r="K11" s="457"/>
      <c r="L11" s="457"/>
      <c r="M11" s="457"/>
      <c r="N11" s="457"/>
      <c r="O11" s="457"/>
      <c r="P11" s="457"/>
      <c r="Q11" s="457"/>
      <c r="R11" s="457"/>
      <c r="S11" s="457"/>
      <c r="T11" s="457"/>
      <c r="U11" s="457"/>
      <c r="V11" s="457"/>
      <c r="W11" s="457"/>
      <c r="X11" s="457"/>
      <c r="Y11" s="457"/>
      <c r="Z11" s="457"/>
      <c r="AA11" s="458"/>
    </row>
    <row r="12" spans="1:27" s="119" customFormat="1" ht="18.600000000000001" customHeight="1" x14ac:dyDescent="0.25">
      <c r="A12" s="456"/>
      <c r="B12" s="457"/>
      <c r="C12" s="457"/>
      <c r="D12" s="457"/>
      <c r="E12" s="457"/>
      <c r="F12" s="457"/>
      <c r="G12" s="457"/>
      <c r="H12" s="457"/>
      <c r="I12" s="457"/>
      <c r="J12" s="457"/>
      <c r="K12" s="457"/>
      <c r="L12" s="457"/>
      <c r="M12" s="457"/>
      <c r="N12" s="457"/>
      <c r="O12" s="457"/>
      <c r="P12" s="457"/>
      <c r="Q12" s="457"/>
      <c r="R12" s="457"/>
      <c r="S12" s="457"/>
      <c r="T12" s="457"/>
      <c r="U12" s="457"/>
      <c r="V12" s="457"/>
      <c r="W12" s="457"/>
      <c r="X12" s="457"/>
      <c r="Y12" s="457"/>
      <c r="Z12" s="457"/>
      <c r="AA12" s="458"/>
    </row>
    <row r="13" spans="1:27" s="119" customFormat="1" ht="18.600000000000001" customHeight="1" x14ac:dyDescent="0.25">
      <c r="A13" s="456"/>
      <c r="B13" s="457"/>
      <c r="C13" s="457"/>
      <c r="D13" s="457"/>
      <c r="E13" s="457"/>
      <c r="F13" s="457"/>
      <c r="G13" s="457"/>
      <c r="H13" s="457"/>
      <c r="I13" s="457"/>
      <c r="J13" s="457"/>
      <c r="K13" s="457"/>
      <c r="L13" s="457"/>
      <c r="M13" s="457"/>
      <c r="N13" s="457"/>
      <c r="O13" s="457"/>
      <c r="P13" s="457"/>
      <c r="Q13" s="457"/>
      <c r="R13" s="457"/>
      <c r="S13" s="457"/>
      <c r="T13" s="457"/>
      <c r="U13" s="457"/>
      <c r="V13" s="457"/>
      <c r="W13" s="457"/>
      <c r="X13" s="457"/>
      <c r="Y13" s="457"/>
      <c r="Z13" s="457"/>
      <c r="AA13" s="458"/>
    </row>
    <row r="14" spans="1:27" s="119" customFormat="1" ht="18.600000000000001" customHeight="1" x14ac:dyDescent="0.25">
      <c r="A14" s="456"/>
      <c r="B14" s="457"/>
      <c r="C14" s="457"/>
      <c r="D14" s="457"/>
      <c r="E14" s="457"/>
      <c r="F14" s="457"/>
      <c r="G14" s="457"/>
      <c r="H14" s="457"/>
      <c r="I14" s="457"/>
      <c r="J14" s="457"/>
      <c r="K14" s="457"/>
      <c r="L14" s="457"/>
      <c r="M14" s="457"/>
      <c r="N14" s="457"/>
      <c r="O14" s="457"/>
      <c r="P14" s="457"/>
      <c r="Q14" s="457"/>
      <c r="R14" s="457"/>
      <c r="S14" s="457"/>
      <c r="T14" s="457"/>
      <c r="U14" s="457"/>
      <c r="V14" s="457"/>
      <c r="W14" s="457"/>
      <c r="X14" s="457"/>
      <c r="Y14" s="457"/>
      <c r="Z14" s="457"/>
      <c r="AA14" s="458"/>
    </row>
    <row r="15" spans="1:27" s="119" customFormat="1" ht="18.600000000000001" customHeight="1" x14ac:dyDescent="0.25">
      <c r="A15" s="456"/>
      <c r="B15" s="457"/>
      <c r="C15" s="457"/>
      <c r="D15" s="457"/>
      <c r="E15" s="457"/>
      <c r="F15" s="457"/>
      <c r="G15" s="457"/>
      <c r="H15" s="457"/>
      <c r="I15" s="457"/>
      <c r="J15" s="457"/>
      <c r="K15" s="457"/>
      <c r="L15" s="457"/>
      <c r="M15" s="457"/>
      <c r="N15" s="457"/>
      <c r="O15" s="457"/>
      <c r="P15" s="457"/>
      <c r="Q15" s="457"/>
      <c r="R15" s="457"/>
      <c r="S15" s="457"/>
      <c r="T15" s="457"/>
      <c r="U15" s="457"/>
      <c r="V15" s="457"/>
      <c r="W15" s="457"/>
      <c r="X15" s="457"/>
      <c r="Y15" s="457"/>
      <c r="Z15" s="457"/>
      <c r="AA15" s="458"/>
    </row>
    <row r="16" spans="1:27" s="119" customFormat="1" ht="18.600000000000001" customHeight="1" thickBot="1" x14ac:dyDescent="0.3">
      <c r="A16" s="459"/>
      <c r="B16" s="460"/>
      <c r="C16" s="460"/>
      <c r="D16" s="460"/>
      <c r="E16" s="460"/>
      <c r="F16" s="460"/>
      <c r="G16" s="460"/>
      <c r="H16" s="460"/>
      <c r="I16" s="460"/>
      <c r="J16" s="460"/>
      <c r="K16" s="460"/>
      <c r="L16" s="460"/>
      <c r="M16" s="460"/>
      <c r="N16" s="460"/>
      <c r="O16" s="460"/>
      <c r="P16" s="460"/>
      <c r="Q16" s="460"/>
      <c r="R16" s="460"/>
      <c r="S16" s="460"/>
      <c r="T16" s="460"/>
      <c r="U16" s="460"/>
      <c r="V16" s="460"/>
      <c r="W16" s="460"/>
      <c r="X16" s="460"/>
      <c r="Y16" s="460"/>
      <c r="Z16" s="460"/>
      <c r="AA16" s="461"/>
    </row>
    <row r="17" spans="1:27" s="119" customFormat="1" ht="18.600000000000001" customHeight="1" x14ac:dyDescent="0.25"/>
    <row r="18" spans="1:27" ht="18.600000000000001" customHeight="1" x14ac:dyDescent="0.25">
      <c r="A18" s="452" t="s">
        <v>671</v>
      </c>
      <c r="B18" s="452"/>
      <c r="C18" s="452"/>
      <c r="D18" s="452"/>
      <c r="E18" s="452"/>
      <c r="F18" s="452"/>
      <c r="G18" s="452"/>
      <c r="H18" s="452"/>
      <c r="I18" s="452"/>
      <c r="J18" s="452"/>
      <c r="K18" s="452"/>
      <c r="L18" s="452"/>
      <c r="M18" s="452"/>
      <c r="N18" s="452"/>
      <c r="O18" s="452"/>
      <c r="P18" s="452"/>
      <c r="Q18" s="452"/>
      <c r="R18" s="452"/>
      <c r="S18" s="452"/>
      <c r="T18" s="452"/>
      <c r="U18" s="452"/>
      <c r="V18" s="452"/>
      <c r="W18" s="452"/>
      <c r="X18" s="452"/>
      <c r="Y18" s="452"/>
      <c r="Z18" s="452"/>
      <c r="AA18" s="452"/>
    </row>
    <row r="19" spans="1:27" ht="18.600000000000001" customHeight="1" x14ac:dyDescent="0.25">
      <c r="A19" s="449" t="s">
        <v>672</v>
      </c>
      <c r="B19" s="449"/>
      <c r="C19" s="449"/>
      <c r="D19" s="449"/>
      <c r="E19" s="449"/>
      <c r="F19" s="449"/>
      <c r="G19" s="449"/>
      <c r="H19" s="450"/>
      <c r="I19" s="450"/>
      <c r="J19" s="450"/>
      <c r="K19" s="450"/>
      <c r="L19" s="450"/>
      <c r="M19" s="450"/>
      <c r="N19" s="450"/>
      <c r="O19" s="450"/>
      <c r="P19" s="450"/>
      <c r="Q19" s="449" t="s">
        <v>668</v>
      </c>
      <c r="R19" s="449"/>
      <c r="S19" s="449"/>
      <c r="T19" s="449"/>
      <c r="U19" s="449"/>
      <c r="V19" s="451"/>
      <c r="W19" s="451"/>
      <c r="X19" s="451"/>
      <c r="Y19" s="451"/>
      <c r="Z19" s="451"/>
      <c r="AA19" s="451"/>
    </row>
    <row r="20" spans="1:27" ht="18.600000000000001" customHeight="1" thickBot="1" x14ac:dyDescent="0.3"/>
    <row r="21" spans="1:27" ht="18.600000000000001" customHeight="1" x14ac:dyDescent="0.25">
      <c r="A21" s="440"/>
      <c r="B21" s="441"/>
      <c r="C21" s="441"/>
      <c r="D21" s="441"/>
      <c r="E21" s="441"/>
      <c r="F21" s="441"/>
      <c r="G21" s="441"/>
      <c r="H21" s="441"/>
      <c r="I21" s="441"/>
      <c r="J21" s="441"/>
      <c r="K21" s="441"/>
      <c r="L21" s="441"/>
      <c r="M21" s="441"/>
      <c r="N21" s="441"/>
      <c r="O21" s="441"/>
      <c r="P21" s="441"/>
      <c r="Q21" s="441"/>
      <c r="R21" s="441"/>
      <c r="S21" s="441"/>
      <c r="T21" s="441"/>
      <c r="U21" s="441"/>
      <c r="V21" s="441"/>
      <c r="W21" s="441"/>
      <c r="X21" s="441"/>
      <c r="Y21" s="441"/>
      <c r="Z21" s="441"/>
      <c r="AA21" s="442"/>
    </row>
    <row r="22" spans="1:27" ht="18.600000000000001" customHeight="1" x14ac:dyDescent="0.25">
      <c r="A22" s="443"/>
      <c r="B22" s="444"/>
      <c r="C22" s="444"/>
      <c r="D22" s="444"/>
      <c r="E22" s="444"/>
      <c r="F22" s="444"/>
      <c r="G22" s="444"/>
      <c r="H22" s="444"/>
      <c r="I22" s="444"/>
      <c r="J22" s="444"/>
      <c r="K22" s="444"/>
      <c r="L22" s="444"/>
      <c r="M22" s="444"/>
      <c r="N22" s="444"/>
      <c r="O22" s="444"/>
      <c r="P22" s="444"/>
      <c r="Q22" s="444"/>
      <c r="R22" s="444"/>
      <c r="S22" s="444"/>
      <c r="T22" s="444"/>
      <c r="U22" s="444"/>
      <c r="V22" s="444"/>
      <c r="W22" s="444"/>
      <c r="X22" s="444"/>
      <c r="Y22" s="444"/>
      <c r="Z22" s="444"/>
      <c r="AA22" s="445"/>
    </row>
    <row r="23" spans="1:27" ht="18.600000000000001" customHeight="1" x14ac:dyDescent="0.25">
      <c r="A23" s="443"/>
      <c r="B23" s="444"/>
      <c r="C23" s="444"/>
      <c r="D23" s="444"/>
      <c r="E23" s="444"/>
      <c r="F23" s="444"/>
      <c r="G23" s="444"/>
      <c r="H23" s="444"/>
      <c r="I23" s="444"/>
      <c r="J23" s="444"/>
      <c r="K23" s="444"/>
      <c r="L23" s="444"/>
      <c r="M23" s="444"/>
      <c r="N23" s="444"/>
      <c r="O23" s="444"/>
      <c r="P23" s="444"/>
      <c r="Q23" s="444"/>
      <c r="R23" s="444"/>
      <c r="S23" s="444"/>
      <c r="T23" s="444"/>
      <c r="U23" s="444"/>
      <c r="V23" s="444"/>
      <c r="W23" s="444"/>
      <c r="X23" s="444"/>
      <c r="Y23" s="444"/>
      <c r="Z23" s="444"/>
      <c r="AA23" s="445"/>
    </row>
    <row r="24" spans="1:27" ht="18.600000000000001" customHeight="1" x14ac:dyDescent="0.25">
      <c r="A24" s="443"/>
      <c r="B24" s="444"/>
      <c r="C24" s="444"/>
      <c r="D24" s="444"/>
      <c r="E24" s="444"/>
      <c r="F24" s="444"/>
      <c r="G24" s="444"/>
      <c r="H24" s="444"/>
      <c r="I24" s="444"/>
      <c r="J24" s="444"/>
      <c r="K24" s="444"/>
      <c r="L24" s="444"/>
      <c r="M24" s="444"/>
      <c r="N24" s="444"/>
      <c r="O24" s="444"/>
      <c r="P24" s="444"/>
      <c r="Q24" s="444"/>
      <c r="R24" s="444"/>
      <c r="S24" s="444"/>
      <c r="T24" s="444"/>
      <c r="U24" s="444"/>
      <c r="V24" s="444"/>
      <c r="W24" s="444"/>
      <c r="X24" s="444"/>
      <c r="Y24" s="444"/>
      <c r="Z24" s="444"/>
      <c r="AA24" s="445"/>
    </row>
    <row r="25" spans="1:27" ht="18.600000000000001" customHeight="1" x14ac:dyDescent="0.25">
      <c r="A25" s="443"/>
      <c r="B25" s="444"/>
      <c r="C25" s="444"/>
      <c r="D25" s="444"/>
      <c r="E25" s="444"/>
      <c r="F25" s="444"/>
      <c r="G25" s="444"/>
      <c r="H25" s="444"/>
      <c r="I25" s="444"/>
      <c r="J25" s="444"/>
      <c r="K25" s="444"/>
      <c r="L25" s="444"/>
      <c r="M25" s="444"/>
      <c r="N25" s="444"/>
      <c r="O25" s="444"/>
      <c r="P25" s="444"/>
      <c r="Q25" s="444"/>
      <c r="R25" s="444"/>
      <c r="S25" s="444"/>
      <c r="T25" s="444"/>
      <c r="U25" s="444"/>
      <c r="V25" s="444"/>
      <c r="W25" s="444"/>
      <c r="X25" s="444"/>
      <c r="Y25" s="444"/>
      <c r="Z25" s="444"/>
      <c r="AA25" s="445"/>
    </row>
    <row r="26" spans="1:27" ht="18.600000000000001" customHeight="1" x14ac:dyDescent="0.25">
      <c r="A26" s="443"/>
      <c r="B26" s="444"/>
      <c r="C26" s="444"/>
      <c r="D26" s="444"/>
      <c r="E26" s="444"/>
      <c r="F26" s="444"/>
      <c r="G26" s="444"/>
      <c r="H26" s="444"/>
      <c r="I26" s="444"/>
      <c r="J26" s="444"/>
      <c r="K26" s="444"/>
      <c r="L26" s="444"/>
      <c r="M26" s="444"/>
      <c r="N26" s="444"/>
      <c r="O26" s="444"/>
      <c r="P26" s="444"/>
      <c r="Q26" s="444"/>
      <c r="R26" s="444"/>
      <c r="S26" s="444"/>
      <c r="T26" s="444"/>
      <c r="U26" s="444"/>
      <c r="V26" s="444"/>
      <c r="W26" s="444"/>
      <c r="X26" s="444"/>
      <c r="Y26" s="444"/>
      <c r="Z26" s="444"/>
      <c r="AA26" s="445"/>
    </row>
    <row r="27" spans="1:27" ht="18.600000000000001" customHeight="1" x14ac:dyDescent="0.25">
      <c r="A27" s="443"/>
      <c r="B27" s="444"/>
      <c r="C27" s="444"/>
      <c r="D27" s="444"/>
      <c r="E27" s="444"/>
      <c r="F27" s="444"/>
      <c r="G27" s="444"/>
      <c r="H27" s="444"/>
      <c r="I27" s="444"/>
      <c r="J27" s="444"/>
      <c r="K27" s="444"/>
      <c r="L27" s="444"/>
      <c r="M27" s="444"/>
      <c r="N27" s="444"/>
      <c r="O27" s="444"/>
      <c r="P27" s="444"/>
      <c r="Q27" s="444"/>
      <c r="R27" s="444"/>
      <c r="S27" s="444"/>
      <c r="T27" s="444"/>
      <c r="U27" s="444"/>
      <c r="V27" s="444"/>
      <c r="W27" s="444"/>
      <c r="X27" s="444"/>
      <c r="Y27" s="444"/>
      <c r="Z27" s="444"/>
      <c r="AA27" s="445"/>
    </row>
    <row r="28" spans="1:27" ht="18.600000000000001" customHeight="1" thickBot="1" x14ac:dyDescent="0.3">
      <c r="A28" s="446"/>
      <c r="B28" s="447"/>
      <c r="C28" s="447"/>
      <c r="D28" s="447"/>
      <c r="E28" s="447"/>
      <c r="F28" s="447"/>
      <c r="G28" s="447"/>
      <c r="H28" s="447"/>
      <c r="I28" s="447"/>
      <c r="J28" s="447"/>
      <c r="K28" s="447"/>
      <c r="L28" s="447"/>
      <c r="M28" s="447"/>
      <c r="N28" s="447"/>
      <c r="O28" s="447"/>
      <c r="P28" s="447"/>
      <c r="Q28" s="447"/>
      <c r="R28" s="447"/>
      <c r="S28" s="447"/>
      <c r="T28" s="447"/>
      <c r="U28" s="447"/>
      <c r="V28" s="447"/>
      <c r="W28" s="447"/>
      <c r="X28" s="447"/>
      <c r="Y28" s="447"/>
      <c r="Z28" s="447"/>
      <c r="AA28" s="448"/>
    </row>
  </sheetData>
  <sheetProtection selectLockedCells="1" selectUnlockedCells="1"/>
  <mergeCells count="20">
    <mergeCell ref="A4:H4"/>
    <mergeCell ref="I4:P4"/>
    <mergeCell ref="A1:E1"/>
    <mergeCell ref="F1:G1"/>
    <mergeCell ref="H1:K1"/>
    <mergeCell ref="L1:N1"/>
    <mergeCell ref="A3:H3"/>
    <mergeCell ref="I3:P3"/>
    <mergeCell ref="A6:AA6"/>
    <mergeCell ref="A19:G19"/>
    <mergeCell ref="H19:P19"/>
    <mergeCell ref="Q19:U19"/>
    <mergeCell ref="V19:AA19"/>
    <mergeCell ref="A18:AA18"/>
    <mergeCell ref="A9:AA16"/>
    <mergeCell ref="A21:AA28"/>
    <mergeCell ref="A7:G7"/>
    <mergeCell ref="H7:P7"/>
    <mergeCell ref="Q7:U7"/>
    <mergeCell ref="V7:AA7"/>
  </mergeCells>
  <conditionalFormatting sqref="I3">
    <cfRule type="expression" dxfId="5" priority="7">
      <formula>$I$3="Not Yet Reviewed"</formula>
    </cfRule>
    <cfRule type="expression" dxfId="4" priority="8">
      <formula>$I$3="Modification Requested"</formula>
    </cfRule>
    <cfRule type="expression" dxfId="3" priority="9">
      <formula>$I$3="Approved"</formula>
    </cfRule>
  </conditionalFormatting>
  <conditionalFormatting sqref="I4">
    <cfRule type="expression" dxfId="2" priority="4">
      <formula>$I$4="Not Yet Reviewed"</formula>
    </cfRule>
    <cfRule type="expression" dxfId="1" priority="5">
      <formula>$I$4="Modification Requested"</formula>
    </cfRule>
    <cfRule type="expression" dxfId="0" priority="6">
      <formula>$I$4="Approved"</formula>
    </cfRule>
  </conditionalFormatting>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Lists!$E$2:$E$4</xm:f>
          </x14:formula1>
          <xm:sqref>I3 I4:P4</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BI141"/>
  <sheetViews>
    <sheetView topLeftCell="U1" workbookViewId="0">
      <selection activeCell="AE10" sqref="AE10"/>
    </sheetView>
  </sheetViews>
  <sheetFormatPr defaultRowHeight="15" x14ac:dyDescent="0.25"/>
  <cols>
    <col min="1" max="1" width="11.28515625" bestFit="1" customWidth="1"/>
    <col min="3" max="3" width="13" customWidth="1"/>
    <col min="14" max="14" width="9.140625" style="119"/>
    <col min="16" max="16" width="38.140625" bestFit="1" customWidth="1"/>
    <col min="17" max="17" width="57.28515625" hidden="1" customWidth="1"/>
    <col min="18" max="20" width="0" hidden="1" customWidth="1"/>
    <col min="27" max="27" width="12.42578125" bestFit="1" customWidth="1"/>
    <col min="28" max="28" width="14.28515625" bestFit="1" customWidth="1"/>
    <col min="30" max="30" width="24.7109375" bestFit="1" customWidth="1"/>
    <col min="31" max="31" width="12.7109375" bestFit="1" customWidth="1"/>
    <col min="32" max="32" width="29.85546875" bestFit="1" customWidth="1"/>
    <col min="37" max="37" width="9.7109375" bestFit="1" customWidth="1"/>
    <col min="39" max="39" width="9.7109375" bestFit="1" customWidth="1"/>
    <col min="41" max="41" width="9.7109375" bestFit="1" customWidth="1"/>
    <col min="43" max="43" width="9.7109375" bestFit="1" customWidth="1"/>
    <col min="45" max="45" width="9.7109375" bestFit="1" customWidth="1"/>
    <col min="47" max="47" width="9.7109375" bestFit="1" customWidth="1"/>
    <col min="49" max="49" width="9.7109375" bestFit="1" customWidth="1"/>
    <col min="51" max="53" width="9.7109375" bestFit="1" customWidth="1"/>
  </cols>
  <sheetData>
    <row r="1" spans="1:61" ht="45" x14ac:dyDescent="0.25">
      <c r="A1" t="s">
        <v>0</v>
      </c>
      <c r="B1" t="s">
        <v>52</v>
      </c>
      <c r="C1" t="s">
        <v>4</v>
      </c>
      <c r="D1" t="s">
        <v>6</v>
      </c>
      <c r="E1" t="s">
        <v>682</v>
      </c>
      <c r="F1" t="s">
        <v>21</v>
      </c>
      <c r="G1" t="s">
        <v>38</v>
      </c>
      <c r="H1" t="s">
        <v>447</v>
      </c>
      <c r="I1" t="s">
        <v>39</v>
      </c>
      <c r="J1" t="s">
        <v>53</v>
      </c>
      <c r="K1" t="s">
        <v>66</v>
      </c>
      <c r="L1" t="s">
        <v>426</v>
      </c>
      <c r="M1" t="s">
        <v>453</v>
      </c>
      <c r="N1" s="119" t="s">
        <v>651</v>
      </c>
      <c r="O1" t="s">
        <v>690</v>
      </c>
      <c r="P1" s="24" t="s">
        <v>110</v>
      </c>
      <c r="Q1" s="24" t="s">
        <v>111</v>
      </c>
      <c r="R1" s="24" t="s">
        <v>112</v>
      </c>
      <c r="S1" s="24" t="s">
        <v>445</v>
      </c>
      <c r="T1" s="24" t="s">
        <v>446</v>
      </c>
      <c r="U1" s="24" t="s">
        <v>444</v>
      </c>
      <c r="V1" s="24" t="s">
        <v>443</v>
      </c>
      <c r="AA1" s="37" t="s">
        <v>399</v>
      </c>
      <c r="AB1" s="37" t="s">
        <v>400</v>
      </c>
      <c r="AC1" s="38" t="s">
        <v>401</v>
      </c>
      <c r="AD1" s="38" t="s">
        <v>402</v>
      </c>
      <c r="AE1" s="38" t="s">
        <v>403</v>
      </c>
      <c r="AF1" s="38" t="s">
        <v>404</v>
      </c>
      <c r="AG1" s="37" t="s">
        <v>405</v>
      </c>
      <c r="AH1" s="37" t="s">
        <v>406</v>
      </c>
      <c r="AI1" s="37" t="s">
        <v>407</v>
      </c>
      <c r="AJ1" s="39">
        <v>39539</v>
      </c>
      <c r="AK1" s="39">
        <v>39722</v>
      </c>
      <c r="AL1" s="39">
        <v>39904</v>
      </c>
      <c r="AM1" s="39">
        <v>40087</v>
      </c>
      <c r="AN1" s="39">
        <v>40269</v>
      </c>
      <c r="AO1" s="39">
        <v>40452</v>
      </c>
      <c r="AP1" s="39">
        <v>40634</v>
      </c>
      <c r="AQ1" s="39">
        <v>40817</v>
      </c>
      <c r="AR1" s="39">
        <v>41000</v>
      </c>
      <c r="AS1" s="39">
        <v>41183</v>
      </c>
      <c r="AT1" s="39">
        <v>41365</v>
      </c>
      <c r="AU1" s="39">
        <v>41548</v>
      </c>
      <c r="AV1" s="39">
        <v>41730</v>
      </c>
      <c r="AW1" s="39">
        <v>41913</v>
      </c>
      <c r="AX1" s="39">
        <v>42095</v>
      </c>
      <c r="AY1" s="39">
        <v>42278</v>
      </c>
      <c r="AZ1" s="39">
        <v>42644</v>
      </c>
      <c r="BA1" s="39">
        <v>43009</v>
      </c>
    </row>
    <row r="2" spans="1:61" x14ac:dyDescent="0.25">
      <c r="A2" s="1" t="s">
        <v>3</v>
      </c>
      <c r="C2" s="1" t="s">
        <v>3</v>
      </c>
      <c r="D2" s="1" t="s">
        <v>3</v>
      </c>
      <c r="E2" t="s">
        <v>465</v>
      </c>
      <c r="F2" s="1" t="s">
        <v>3</v>
      </c>
      <c r="G2" s="1" t="s">
        <v>3</v>
      </c>
      <c r="H2" s="1" t="s">
        <v>3</v>
      </c>
      <c r="I2" s="1" t="s">
        <v>3</v>
      </c>
      <c r="J2" s="1" t="s">
        <v>3</v>
      </c>
      <c r="K2" s="1" t="s">
        <v>3</v>
      </c>
      <c r="L2" s="1" t="s">
        <v>3</v>
      </c>
      <c r="M2">
        <v>1.09056</v>
      </c>
      <c r="N2" s="119" t="s">
        <v>7</v>
      </c>
      <c r="O2">
        <v>1</v>
      </c>
      <c r="P2" s="1" t="s">
        <v>3</v>
      </c>
      <c r="Z2" s="31"/>
      <c r="AA2" s="3" t="s">
        <v>15</v>
      </c>
      <c r="AB2" s="40" t="s">
        <v>16</v>
      </c>
      <c r="AC2" s="41" t="s">
        <v>17</v>
      </c>
      <c r="AD2" s="41" t="s">
        <v>18</v>
      </c>
      <c r="AE2" s="41" t="s">
        <v>19</v>
      </c>
      <c r="AF2" s="41" t="s">
        <v>20</v>
      </c>
      <c r="AG2" s="41" t="s">
        <v>408</v>
      </c>
      <c r="AH2" s="40">
        <v>35</v>
      </c>
      <c r="AI2" s="42">
        <v>0.7</v>
      </c>
      <c r="AJ2" s="43">
        <v>0.2</v>
      </c>
      <c r="AK2" s="43">
        <v>0.27</v>
      </c>
      <c r="AL2" s="43">
        <v>0.27</v>
      </c>
      <c r="AM2" s="43">
        <v>0.27</v>
      </c>
      <c r="AN2" s="43">
        <v>0.27</v>
      </c>
      <c r="AO2" s="43">
        <v>0.27</v>
      </c>
      <c r="AP2" s="43">
        <v>0.27</v>
      </c>
      <c r="AQ2" s="43">
        <v>0.35</v>
      </c>
      <c r="AR2" s="43">
        <v>0.35</v>
      </c>
      <c r="AS2" s="43">
        <v>0.35</v>
      </c>
      <c r="AT2" s="43">
        <v>0.35</v>
      </c>
      <c r="AU2" s="43">
        <v>0.35</v>
      </c>
      <c r="AV2" s="43">
        <v>0.35</v>
      </c>
      <c r="AW2" s="43">
        <v>0.35</v>
      </c>
      <c r="AX2" s="43">
        <v>0.35</v>
      </c>
      <c r="AY2" s="44">
        <v>0.35</v>
      </c>
      <c r="AZ2" s="44">
        <v>0.35</v>
      </c>
      <c r="BA2" s="44">
        <v>0.35</v>
      </c>
    </row>
    <row r="3" spans="1:61" x14ac:dyDescent="0.25">
      <c r="C3" t="s">
        <v>9</v>
      </c>
      <c r="D3">
        <v>1</v>
      </c>
      <c r="E3" t="s">
        <v>466</v>
      </c>
      <c r="F3" t="s">
        <v>33</v>
      </c>
      <c r="G3">
        <v>1</v>
      </c>
      <c r="H3">
        <v>0</v>
      </c>
      <c r="I3" t="s">
        <v>40</v>
      </c>
      <c r="J3" t="s">
        <v>54</v>
      </c>
      <c r="K3" t="s">
        <v>8</v>
      </c>
      <c r="L3" t="s">
        <v>422</v>
      </c>
      <c r="N3" s="119" t="s">
        <v>8</v>
      </c>
      <c r="O3">
        <v>2</v>
      </c>
      <c r="P3" s="25" t="s">
        <v>113</v>
      </c>
      <c r="Q3" s="25" t="s">
        <v>114</v>
      </c>
      <c r="R3" s="25">
        <v>10055</v>
      </c>
      <c r="S3" t="s">
        <v>529</v>
      </c>
      <c r="T3" t="s">
        <v>528</v>
      </c>
      <c r="U3" t="s">
        <v>660</v>
      </c>
      <c r="V3">
        <v>12345</v>
      </c>
      <c r="AA3" s="3" t="s">
        <v>43</v>
      </c>
      <c r="AB3" s="40" t="s">
        <v>44</v>
      </c>
      <c r="AC3" s="41" t="s">
        <v>17</v>
      </c>
      <c r="AD3" s="41" t="s">
        <v>18</v>
      </c>
      <c r="AE3" s="41" t="s">
        <v>45</v>
      </c>
      <c r="AF3" s="41" t="s">
        <v>46</v>
      </c>
      <c r="AG3" s="41" t="s">
        <v>408</v>
      </c>
      <c r="AH3" s="40">
        <v>30</v>
      </c>
      <c r="AI3" s="42">
        <v>0.7</v>
      </c>
      <c r="AJ3" s="43">
        <v>0.2</v>
      </c>
      <c r="AK3" s="43">
        <v>0.27</v>
      </c>
      <c r="AL3" s="43">
        <v>0.27</v>
      </c>
      <c r="AM3" s="43">
        <v>0.27</v>
      </c>
      <c r="AN3" s="43">
        <v>0.27</v>
      </c>
      <c r="AO3" s="43">
        <v>0.27</v>
      </c>
      <c r="AP3" s="43">
        <v>0.27</v>
      </c>
      <c r="AQ3" s="43">
        <v>0.35</v>
      </c>
      <c r="AR3" s="43">
        <v>0.25</v>
      </c>
      <c r="AS3" s="43">
        <v>0.25</v>
      </c>
      <c r="AT3" s="43">
        <v>0.25</v>
      </c>
      <c r="AU3" s="43">
        <v>0.25</v>
      </c>
      <c r="AV3" s="43">
        <v>0.25</v>
      </c>
      <c r="AW3" s="43">
        <v>0.25</v>
      </c>
      <c r="AX3" s="43">
        <v>0.25</v>
      </c>
      <c r="AY3" s="45">
        <v>0.25</v>
      </c>
      <c r="AZ3" s="45">
        <v>0.25</v>
      </c>
      <c r="BA3" s="45">
        <v>0.25</v>
      </c>
    </row>
    <row r="4" spans="1:61" x14ac:dyDescent="0.25">
      <c r="C4" t="s">
        <v>10</v>
      </c>
      <c r="D4">
        <v>2</v>
      </c>
      <c r="E4" t="s">
        <v>467</v>
      </c>
      <c r="F4" t="s">
        <v>34</v>
      </c>
      <c r="G4">
        <v>2</v>
      </c>
      <c r="H4">
        <v>1</v>
      </c>
      <c r="I4" t="s">
        <v>41</v>
      </c>
      <c r="J4" t="s">
        <v>688</v>
      </c>
      <c r="K4" t="s">
        <v>7</v>
      </c>
      <c r="L4" t="s">
        <v>421</v>
      </c>
      <c r="O4" s="119">
        <v>3</v>
      </c>
      <c r="P4" s="26" t="s">
        <v>115</v>
      </c>
      <c r="Q4" s="25" t="s">
        <v>116</v>
      </c>
      <c r="R4" s="27">
        <v>10005</v>
      </c>
      <c r="S4" t="s">
        <v>529</v>
      </c>
      <c r="T4" t="s">
        <v>528</v>
      </c>
      <c r="U4" t="s">
        <v>661</v>
      </c>
      <c r="V4">
        <v>12345</v>
      </c>
      <c r="AA4" s="3" t="s">
        <v>47</v>
      </c>
      <c r="AB4" s="40" t="s">
        <v>16</v>
      </c>
      <c r="AC4" s="41" t="s">
        <v>17</v>
      </c>
      <c r="AD4" s="41" t="s">
        <v>18</v>
      </c>
      <c r="AE4" s="41" t="s">
        <v>45</v>
      </c>
      <c r="AF4" s="41" t="s">
        <v>46</v>
      </c>
      <c r="AG4" s="41" t="s">
        <v>408</v>
      </c>
      <c r="AH4" s="40">
        <v>30</v>
      </c>
      <c r="AI4" s="42">
        <v>0.7</v>
      </c>
      <c r="AJ4" s="43">
        <v>0.2</v>
      </c>
      <c r="AK4" s="43">
        <v>0.27</v>
      </c>
      <c r="AL4" s="43">
        <v>0.27</v>
      </c>
      <c r="AM4" s="43">
        <v>0.27</v>
      </c>
      <c r="AN4" s="43">
        <v>0.27</v>
      </c>
      <c r="AO4" s="43">
        <v>0.27</v>
      </c>
      <c r="AP4" s="43">
        <v>0.27</v>
      </c>
      <c r="AQ4" s="43">
        <v>0.35</v>
      </c>
      <c r="AR4" s="43">
        <v>0.35</v>
      </c>
      <c r="AS4" s="43">
        <v>0.35</v>
      </c>
      <c r="AT4" s="43">
        <v>0.35</v>
      </c>
      <c r="AU4" s="43">
        <v>0.35</v>
      </c>
      <c r="AV4" s="43">
        <v>0.35</v>
      </c>
      <c r="AW4" s="43">
        <v>0.35</v>
      </c>
      <c r="AX4" s="43">
        <v>0.35</v>
      </c>
      <c r="AY4" s="44">
        <v>0.35</v>
      </c>
      <c r="AZ4" s="44">
        <v>0.35</v>
      </c>
      <c r="BA4" s="44">
        <v>0.35</v>
      </c>
    </row>
    <row r="5" spans="1:61" x14ac:dyDescent="0.25">
      <c r="C5" t="s">
        <v>5</v>
      </c>
      <c r="D5">
        <v>3</v>
      </c>
      <c r="F5" t="s">
        <v>35</v>
      </c>
      <c r="G5">
        <v>3</v>
      </c>
      <c r="I5" t="s">
        <v>42</v>
      </c>
      <c r="J5" t="s">
        <v>55</v>
      </c>
      <c r="K5" t="s">
        <v>107</v>
      </c>
      <c r="O5" s="119">
        <v>4</v>
      </c>
      <c r="P5" s="26" t="s">
        <v>117</v>
      </c>
      <c r="Q5" s="25" t="s">
        <v>118</v>
      </c>
      <c r="R5" s="26">
        <v>10057</v>
      </c>
      <c r="S5" t="s">
        <v>529</v>
      </c>
      <c r="T5" t="s">
        <v>528</v>
      </c>
      <c r="U5" t="s">
        <v>662</v>
      </c>
      <c r="V5">
        <v>12345</v>
      </c>
    </row>
    <row r="6" spans="1:61" x14ac:dyDescent="0.25">
      <c r="D6">
        <v>4</v>
      </c>
      <c r="J6" t="s">
        <v>56</v>
      </c>
      <c r="O6" s="119">
        <v>5</v>
      </c>
      <c r="P6" s="26" t="s">
        <v>119</v>
      </c>
      <c r="Q6" s="25" t="s">
        <v>120</v>
      </c>
      <c r="R6" s="26">
        <v>10015</v>
      </c>
      <c r="S6" t="s">
        <v>529</v>
      </c>
      <c r="T6" t="s">
        <v>528</v>
      </c>
      <c r="U6" t="s">
        <v>661</v>
      </c>
      <c r="V6">
        <v>12345</v>
      </c>
      <c r="AB6" s="40" t="s">
        <v>655</v>
      </c>
    </row>
    <row r="7" spans="1:61" x14ac:dyDescent="0.25">
      <c r="D7">
        <v>5</v>
      </c>
      <c r="O7" s="119">
        <v>6</v>
      </c>
      <c r="P7" s="26" t="s">
        <v>121</v>
      </c>
      <c r="Q7" s="25" t="s">
        <v>122</v>
      </c>
      <c r="R7" s="26">
        <v>10059</v>
      </c>
      <c r="S7" t="s">
        <v>529</v>
      </c>
      <c r="T7" t="s">
        <v>528</v>
      </c>
      <c r="U7" t="s">
        <v>662</v>
      </c>
      <c r="V7">
        <v>12345</v>
      </c>
      <c r="AA7" s="3" t="s">
        <v>15</v>
      </c>
      <c r="AB7" s="133">
        <v>2.1469101905822754</v>
      </c>
    </row>
    <row r="8" spans="1:61" x14ac:dyDescent="0.25">
      <c r="D8">
        <v>6</v>
      </c>
      <c r="O8" s="119">
        <v>7</v>
      </c>
      <c r="P8" s="26" t="s">
        <v>123</v>
      </c>
      <c r="Q8" s="25" t="s">
        <v>124</v>
      </c>
      <c r="R8" s="26">
        <v>10409</v>
      </c>
      <c r="S8" t="s">
        <v>529</v>
      </c>
      <c r="T8" t="s">
        <v>528</v>
      </c>
      <c r="U8" t="s">
        <v>661</v>
      </c>
      <c r="V8">
        <v>12345</v>
      </c>
      <c r="AA8" s="3" t="s">
        <v>43</v>
      </c>
      <c r="AB8" s="133">
        <v>2.2748639583587646</v>
      </c>
      <c r="AC8" s="134"/>
      <c r="AD8" s="134"/>
      <c r="AE8" s="134"/>
      <c r="AF8" s="134"/>
      <c r="AG8" s="134"/>
      <c r="AH8" s="134"/>
      <c r="AI8" s="134"/>
      <c r="AJ8" s="134"/>
      <c r="AK8" s="134"/>
      <c r="AL8" s="134"/>
      <c r="AM8" s="134"/>
      <c r="AN8" s="134"/>
      <c r="AO8" s="134"/>
      <c r="AP8" s="134"/>
      <c r="AQ8" s="134"/>
      <c r="AR8" s="134"/>
      <c r="AS8" s="134"/>
      <c r="AT8" s="134"/>
      <c r="AU8" s="134"/>
      <c r="AV8" s="134"/>
      <c r="AW8" s="134"/>
      <c r="AX8" s="134"/>
      <c r="AY8" s="134"/>
      <c r="AZ8" s="134"/>
      <c r="BA8" s="134"/>
      <c r="BB8" s="134"/>
      <c r="BC8" s="134"/>
      <c r="BD8" s="134"/>
      <c r="BE8" s="134"/>
      <c r="BF8" s="134"/>
      <c r="BG8" s="134"/>
      <c r="BH8" s="134"/>
      <c r="BI8" s="134"/>
    </row>
    <row r="9" spans="1:61" x14ac:dyDescent="0.25">
      <c r="O9" s="119">
        <v>8</v>
      </c>
      <c r="P9" s="26" t="s">
        <v>125</v>
      </c>
      <c r="Q9" s="25" t="s">
        <v>126</v>
      </c>
      <c r="R9" s="26">
        <v>10024</v>
      </c>
      <c r="S9" t="s">
        <v>529</v>
      </c>
      <c r="T9" t="s">
        <v>528</v>
      </c>
      <c r="U9" t="s">
        <v>661</v>
      </c>
      <c r="V9">
        <v>12345</v>
      </c>
      <c r="AA9" s="3" t="s">
        <v>47</v>
      </c>
      <c r="AB9" s="133">
        <v>1.9982861280441284</v>
      </c>
      <c r="AC9" s="135"/>
      <c r="AD9" s="135"/>
      <c r="AE9" s="135"/>
      <c r="AF9" s="135"/>
      <c r="AG9" s="135"/>
      <c r="AH9" s="135"/>
      <c r="AI9" s="135"/>
      <c r="AJ9" s="135"/>
      <c r="AK9" s="135"/>
      <c r="AL9" s="135"/>
      <c r="AM9" s="135"/>
      <c r="AN9" s="135"/>
      <c r="AO9" s="135"/>
      <c r="AP9" s="135"/>
      <c r="AQ9" s="135"/>
      <c r="AR9" s="135"/>
      <c r="AS9" s="135"/>
      <c r="AT9" s="135"/>
      <c r="AU9" s="135"/>
      <c r="AV9" s="135"/>
      <c r="AW9" s="135"/>
      <c r="AX9" s="135"/>
      <c r="AY9" s="135"/>
      <c r="AZ9" s="135"/>
      <c r="BA9" s="135"/>
      <c r="BB9" s="135"/>
      <c r="BC9" s="135"/>
      <c r="BD9" s="135"/>
      <c r="BE9" s="135"/>
      <c r="BF9" s="135"/>
      <c r="BG9" s="135"/>
      <c r="BH9" s="135"/>
      <c r="BI9" s="135"/>
    </row>
    <row r="10" spans="1:61" x14ac:dyDescent="0.25">
      <c r="O10" s="119">
        <v>9</v>
      </c>
      <c r="P10" s="26" t="s">
        <v>127</v>
      </c>
      <c r="Q10" s="25" t="s">
        <v>128</v>
      </c>
      <c r="R10" s="26">
        <v>10025</v>
      </c>
      <c r="S10" t="s">
        <v>529</v>
      </c>
      <c r="T10" t="s">
        <v>528</v>
      </c>
      <c r="U10" t="s">
        <v>661</v>
      </c>
      <c r="V10">
        <v>12345</v>
      </c>
    </row>
    <row r="11" spans="1:61" x14ac:dyDescent="0.25">
      <c r="O11" s="119">
        <v>10</v>
      </c>
      <c r="P11" s="26" t="s">
        <v>129</v>
      </c>
      <c r="Q11" s="25" t="s">
        <v>130</v>
      </c>
      <c r="R11" s="26">
        <v>10027</v>
      </c>
      <c r="S11" t="s">
        <v>529</v>
      </c>
      <c r="T11" t="s">
        <v>528</v>
      </c>
      <c r="U11" t="s">
        <v>661</v>
      </c>
      <c r="V11">
        <v>12345</v>
      </c>
      <c r="AA11" t="s">
        <v>530</v>
      </c>
    </row>
    <row r="12" spans="1:61" x14ac:dyDescent="0.25">
      <c r="O12" s="119">
        <v>11</v>
      </c>
      <c r="P12" s="26" t="s">
        <v>131</v>
      </c>
      <c r="Q12" s="25" t="s">
        <v>132</v>
      </c>
      <c r="R12" s="28">
        <v>10029</v>
      </c>
      <c r="S12" t="s">
        <v>529</v>
      </c>
      <c r="T12" t="s">
        <v>528</v>
      </c>
      <c r="U12" t="s">
        <v>662</v>
      </c>
      <c r="V12">
        <v>12345</v>
      </c>
      <c r="AA12" t="s">
        <v>531</v>
      </c>
      <c r="AB12" t="s">
        <v>31</v>
      </c>
      <c r="AC12" t="s">
        <v>442</v>
      </c>
      <c r="AD12" t="s">
        <v>532</v>
      </c>
      <c r="AE12" t="s">
        <v>533</v>
      </c>
      <c r="AF12" t="s">
        <v>534</v>
      </c>
      <c r="AG12" t="s">
        <v>648</v>
      </c>
      <c r="AH12" t="s">
        <v>705</v>
      </c>
    </row>
    <row r="13" spans="1:61" x14ac:dyDescent="0.25">
      <c r="O13" s="119">
        <v>12</v>
      </c>
      <c r="P13" s="26" t="s">
        <v>133</v>
      </c>
      <c r="Q13" s="25" t="s">
        <v>134</v>
      </c>
      <c r="R13" s="29">
        <v>10061</v>
      </c>
      <c r="S13" t="s">
        <v>529</v>
      </c>
      <c r="T13" t="s">
        <v>528</v>
      </c>
      <c r="U13" t="s">
        <v>661</v>
      </c>
      <c r="V13">
        <v>12345</v>
      </c>
      <c r="Z13" t="s">
        <v>497</v>
      </c>
      <c r="AA13" t="str">
        <f>'TF1'!H11</f>
        <v/>
      </c>
      <c r="AB13" s="93">
        <f>'TF1'!S40</f>
        <v>0</v>
      </c>
      <c r="AC13" s="91">
        <f>'TF1'!S37</f>
        <v>0</v>
      </c>
      <c r="AD13" s="92" t="str">
        <f ca="1">'TF1'!S54</f>
        <v/>
      </c>
      <c r="AE13" s="92" t="str">
        <f>Summary!AH32</f>
        <v/>
      </c>
      <c r="AF13" s="92">
        <f>Summary!AI32</f>
        <v>0</v>
      </c>
      <c r="AG13" s="121">
        <f>'TF1'!S36</f>
        <v>0</v>
      </c>
      <c r="AH13">
        <f>IFERROR(VLOOKUP(AA13,$AA$7:$AB$9,2,FALSE)*AC13,0)</f>
        <v>0</v>
      </c>
    </row>
    <row r="14" spans="1:61" x14ac:dyDescent="0.25">
      <c r="O14" s="119">
        <v>13</v>
      </c>
      <c r="P14" s="26" t="s">
        <v>135</v>
      </c>
      <c r="Q14" s="25" t="s">
        <v>136</v>
      </c>
      <c r="R14" s="26">
        <v>10062</v>
      </c>
      <c r="S14" t="s">
        <v>529</v>
      </c>
      <c r="T14" t="s">
        <v>528</v>
      </c>
      <c r="U14" t="s">
        <v>660</v>
      </c>
      <c r="V14">
        <v>12345</v>
      </c>
      <c r="Z14" t="s">
        <v>498</v>
      </c>
      <c r="AA14" t="str">
        <f>'TF2'!H11</f>
        <v/>
      </c>
      <c r="AB14" s="93">
        <f>'TF2'!S40</f>
        <v>0</v>
      </c>
      <c r="AC14" s="91">
        <f>'TF2'!S37</f>
        <v>0</v>
      </c>
      <c r="AD14" s="92" t="str">
        <f ca="1">'TF2'!S54</f>
        <v/>
      </c>
      <c r="AE14" s="92" t="str">
        <f>Summary!AH33</f>
        <v/>
      </c>
      <c r="AF14" s="92">
        <f>Summary!AI33</f>
        <v>0</v>
      </c>
      <c r="AG14" s="121">
        <f>'TF2'!S36</f>
        <v>0</v>
      </c>
      <c r="AH14" s="119">
        <f t="shared" ref="AH14:AH18" si="0">IFERROR(VLOOKUP(AA14,$AA$7:$AB$9,2,FALSE)*AC14,0)</f>
        <v>0</v>
      </c>
      <c r="AI14" s="119"/>
    </row>
    <row r="15" spans="1:61" x14ac:dyDescent="0.25">
      <c r="O15" s="119">
        <v>14</v>
      </c>
      <c r="P15" s="26" t="s">
        <v>137</v>
      </c>
      <c r="Q15" s="25" t="s">
        <v>138</v>
      </c>
      <c r="R15" s="26">
        <v>10326</v>
      </c>
      <c r="S15" t="s">
        <v>529</v>
      </c>
      <c r="T15" t="s">
        <v>528</v>
      </c>
      <c r="U15" t="s">
        <v>661</v>
      </c>
      <c r="V15">
        <v>12345</v>
      </c>
      <c r="Z15" t="s">
        <v>499</v>
      </c>
      <c r="AA15" t="str">
        <f>'TF3'!H11</f>
        <v/>
      </c>
      <c r="AB15" s="93">
        <f>'TF3'!S40</f>
        <v>0</v>
      </c>
      <c r="AC15" s="91">
        <f>'TF3'!S37</f>
        <v>0</v>
      </c>
      <c r="AD15" s="92" t="str">
        <f ca="1">'TF3'!S54</f>
        <v/>
      </c>
      <c r="AE15" s="92" t="str">
        <f>Summary!AH34</f>
        <v/>
      </c>
      <c r="AF15" s="92">
        <f>Summary!AI34</f>
        <v>0</v>
      </c>
      <c r="AG15" s="121">
        <f>'TF3'!S36</f>
        <v>0</v>
      </c>
      <c r="AH15" s="119">
        <f t="shared" si="0"/>
        <v>0</v>
      </c>
    </row>
    <row r="16" spans="1:61" x14ac:dyDescent="0.25">
      <c r="O16" s="119">
        <v>15</v>
      </c>
      <c r="P16" s="26" t="s">
        <v>139</v>
      </c>
      <c r="Q16" s="25" t="s">
        <v>140</v>
      </c>
      <c r="R16" s="26">
        <v>10064</v>
      </c>
      <c r="S16" t="s">
        <v>529</v>
      </c>
      <c r="T16" t="s">
        <v>528</v>
      </c>
      <c r="U16" t="s">
        <v>660</v>
      </c>
      <c r="V16">
        <v>12345</v>
      </c>
      <c r="Z16" t="s">
        <v>500</v>
      </c>
      <c r="AA16" t="str">
        <f>'TF4'!H11</f>
        <v/>
      </c>
      <c r="AB16" s="93">
        <f>'TF4'!S40</f>
        <v>0</v>
      </c>
      <c r="AC16" s="91">
        <f>'TF4'!S37</f>
        <v>0</v>
      </c>
      <c r="AD16" t="str">
        <f ca="1">'TF4'!S54</f>
        <v/>
      </c>
      <c r="AE16" s="92" t="str">
        <f>Summary!AH35</f>
        <v/>
      </c>
      <c r="AF16" s="92">
        <f>Summary!AI35</f>
        <v>0</v>
      </c>
      <c r="AG16" s="121">
        <f>'TF4'!S36</f>
        <v>0</v>
      </c>
      <c r="AH16" s="119">
        <f t="shared" si="0"/>
        <v>0</v>
      </c>
    </row>
    <row r="17" spans="15:34" x14ac:dyDescent="0.25">
      <c r="O17" s="119">
        <v>16</v>
      </c>
      <c r="P17" s="26" t="s">
        <v>141</v>
      </c>
      <c r="Q17" s="25" t="s">
        <v>142</v>
      </c>
      <c r="R17" s="26">
        <v>10044</v>
      </c>
      <c r="S17" t="s">
        <v>529</v>
      </c>
      <c r="T17" t="s">
        <v>528</v>
      </c>
      <c r="U17" t="s">
        <v>662</v>
      </c>
      <c r="V17">
        <v>12345</v>
      </c>
      <c r="Z17" t="s">
        <v>519</v>
      </c>
      <c r="AA17" t="str">
        <f>'TF5'!H11</f>
        <v/>
      </c>
      <c r="AB17" s="93">
        <f>'TF5'!S40</f>
        <v>0</v>
      </c>
      <c r="AC17" s="91">
        <f>'TF5'!S37</f>
        <v>0</v>
      </c>
      <c r="AD17" t="str">
        <f ca="1">'TF5'!S54</f>
        <v/>
      </c>
      <c r="AE17" s="92" t="str">
        <f>Summary!AH36</f>
        <v/>
      </c>
      <c r="AF17" s="92">
        <f>Summary!AI36</f>
        <v>0</v>
      </c>
      <c r="AG17" s="121">
        <f>'TF5'!S36</f>
        <v>0</v>
      </c>
      <c r="AH17" s="119">
        <f t="shared" si="0"/>
        <v>0</v>
      </c>
    </row>
    <row r="18" spans="15:34" x14ac:dyDescent="0.25">
      <c r="O18" s="119">
        <v>17</v>
      </c>
      <c r="P18" s="26" t="s">
        <v>143</v>
      </c>
      <c r="Q18" s="25" t="s">
        <v>144</v>
      </c>
      <c r="R18" s="26">
        <v>10065</v>
      </c>
      <c r="S18" t="s">
        <v>529</v>
      </c>
      <c r="T18" t="s">
        <v>528</v>
      </c>
      <c r="U18" t="s">
        <v>662</v>
      </c>
      <c r="V18">
        <v>12345</v>
      </c>
      <c r="Z18" t="s">
        <v>520</v>
      </c>
      <c r="AA18" t="str">
        <f>'TF6'!H11</f>
        <v/>
      </c>
      <c r="AB18" s="93">
        <f>'TF6'!S40</f>
        <v>0</v>
      </c>
      <c r="AC18" s="91">
        <f>'TF6'!S37</f>
        <v>0</v>
      </c>
      <c r="AD18" t="str">
        <f ca="1">'TF6'!S54</f>
        <v/>
      </c>
      <c r="AE18" s="92" t="str">
        <f>Summary!AH37</f>
        <v/>
      </c>
      <c r="AF18" s="92">
        <f>Summary!AI37</f>
        <v>0</v>
      </c>
      <c r="AG18" s="121">
        <f>'TF6'!S36</f>
        <v>0</v>
      </c>
      <c r="AH18" s="119">
        <f t="shared" si="0"/>
        <v>0</v>
      </c>
    </row>
    <row r="19" spans="15:34" x14ac:dyDescent="0.25">
      <c r="O19" s="119">
        <v>18</v>
      </c>
      <c r="P19" s="26" t="s">
        <v>145</v>
      </c>
      <c r="Q19" s="25" t="s">
        <v>146</v>
      </c>
      <c r="R19" s="28">
        <v>10046</v>
      </c>
      <c r="S19" t="s">
        <v>529</v>
      </c>
      <c r="T19" t="s">
        <v>528</v>
      </c>
      <c r="U19" t="s">
        <v>662</v>
      </c>
      <c r="V19">
        <v>12345</v>
      </c>
    </row>
    <row r="20" spans="15:34" x14ac:dyDescent="0.25">
      <c r="O20" s="119">
        <v>19</v>
      </c>
      <c r="P20" s="26" t="s">
        <v>147</v>
      </c>
      <c r="Q20" s="25" t="s">
        <v>148</v>
      </c>
      <c r="R20" s="26">
        <v>10047</v>
      </c>
      <c r="S20" t="s">
        <v>529</v>
      </c>
      <c r="T20" t="s">
        <v>528</v>
      </c>
      <c r="U20" t="s">
        <v>662</v>
      </c>
      <c r="V20">
        <v>12345</v>
      </c>
    </row>
    <row r="21" spans="15:34" x14ac:dyDescent="0.25">
      <c r="O21" s="119">
        <v>20</v>
      </c>
      <c r="P21" s="26" t="s">
        <v>149</v>
      </c>
      <c r="Q21" s="25" t="s">
        <v>150</v>
      </c>
      <c r="R21" s="29">
        <v>10066</v>
      </c>
      <c r="S21" t="s">
        <v>529</v>
      </c>
      <c r="T21" t="s">
        <v>528</v>
      </c>
      <c r="U21" t="s">
        <v>661</v>
      </c>
      <c r="V21">
        <v>12345</v>
      </c>
    </row>
    <row r="22" spans="15:34" x14ac:dyDescent="0.25">
      <c r="P22" s="26" t="s">
        <v>151</v>
      </c>
      <c r="Q22" s="26" t="s">
        <v>152</v>
      </c>
      <c r="R22" s="26">
        <v>10050</v>
      </c>
      <c r="S22" t="s">
        <v>529</v>
      </c>
      <c r="T22" t="s">
        <v>528</v>
      </c>
      <c r="U22" t="s">
        <v>661</v>
      </c>
      <c r="V22">
        <v>12345</v>
      </c>
    </row>
    <row r="23" spans="15:34" x14ac:dyDescent="0.25">
      <c r="P23" s="26" t="s">
        <v>153</v>
      </c>
      <c r="Q23" s="25" t="s">
        <v>154</v>
      </c>
      <c r="R23" s="26">
        <v>10067</v>
      </c>
      <c r="S23" t="s">
        <v>529</v>
      </c>
      <c r="T23" t="s">
        <v>528</v>
      </c>
      <c r="U23" t="s">
        <v>661</v>
      </c>
      <c r="V23">
        <v>12345</v>
      </c>
      <c r="Z23" s="49" t="s">
        <v>413</v>
      </c>
      <c r="AA23" s="49" t="s">
        <v>414</v>
      </c>
    </row>
    <row r="24" spans="15:34" x14ac:dyDescent="0.25">
      <c r="P24" s="26" t="s">
        <v>155</v>
      </c>
      <c r="Q24" s="25" t="s">
        <v>156</v>
      </c>
      <c r="R24" s="26">
        <v>10068</v>
      </c>
      <c r="S24" t="s">
        <v>529</v>
      </c>
      <c r="T24" t="s">
        <v>528</v>
      </c>
      <c r="U24" t="s">
        <v>661</v>
      </c>
      <c r="V24">
        <v>12345</v>
      </c>
      <c r="Z24" s="49" t="s">
        <v>415</v>
      </c>
      <c r="AA24" s="49" t="s">
        <v>415</v>
      </c>
    </row>
    <row r="25" spans="15:34" x14ac:dyDescent="0.25">
      <c r="P25" s="26" t="s">
        <v>157</v>
      </c>
      <c r="Q25" s="25" t="s">
        <v>158</v>
      </c>
      <c r="R25" s="26">
        <v>10101</v>
      </c>
      <c r="S25" t="s">
        <v>529</v>
      </c>
      <c r="T25" t="s">
        <v>528</v>
      </c>
      <c r="U25" t="s">
        <v>661</v>
      </c>
      <c r="V25">
        <v>12345</v>
      </c>
      <c r="Z25" s="48" t="s">
        <v>416</v>
      </c>
      <c r="AA25" s="48" t="s">
        <v>417</v>
      </c>
    </row>
    <row r="26" spans="15:34" x14ac:dyDescent="0.25">
      <c r="P26" s="26" t="s">
        <v>159</v>
      </c>
      <c r="Q26" s="25" t="s">
        <v>160</v>
      </c>
      <c r="R26" s="26">
        <v>10103</v>
      </c>
      <c r="S26" t="s">
        <v>529</v>
      </c>
      <c r="T26" t="s">
        <v>528</v>
      </c>
      <c r="U26" t="s">
        <v>661</v>
      </c>
      <c r="V26">
        <v>12345</v>
      </c>
      <c r="Z26" s="49" t="s">
        <v>408</v>
      </c>
      <c r="AA26" s="50">
        <v>0.82</v>
      </c>
    </row>
    <row r="27" spans="15:34" x14ac:dyDescent="0.25">
      <c r="P27" s="26" t="s">
        <v>161</v>
      </c>
      <c r="Q27" s="25" t="s">
        <v>162</v>
      </c>
      <c r="R27" s="26">
        <v>10105</v>
      </c>
      <c r="S27" t="s">
        <v>529</v>
      </c>
      <c r="T27" t="s">
        <v>528</v>
      </c>
      <c r="U27" t="s">
        <v>662</v>
      </c>
      <c r="V27">
        <v>12345</v>
      </c>
    </row>
    <row r="28" spans="15:34" x14ac:dyDescent="0.25">
      <c r="P28" s="26" t="s">
        <v>163</v>
      </c>
      <c r="Q28" s="25" t="s">
        <v>164</v>
      </c>
      <c r="R28" s="28">
        <v>10106</v>
      </c>
      <c r="S28" t="s">
        <v>529</v>
      </c>
      <c r="T28" t="s">
        <v>528</v>
      </c>
      <c r="U28" t="s">
        <v>660</v>
      </c>
      <c r="V28">
        <v>12345</v>
      </c>
    </row>
    <row r="29" spans="15:34" x14ac:dyDescent="0.25">
      <c r="P29" s="26" t="s">
        <v>165</v>
      </c>
      <c r="Q29" s="25" t="s">
        <v>166</v>
      </c>
      <c r="R29" s="26">
        <v>10109</v>
      </c>
      <c r="S29" t="s">
        <v>529</v>
      </c>
      <c r="T29" t="s">
        <v>528</v>
      </c>
      <c r="U29" t="s">
        <v>662</v>
      </c>
      <c r="V29">
        <v>12345</v>
      </c>
    </row>
    <row r="30" spans="15:34" x14ac:dyDescent="0.25">
      <c r="P30" s="26" t="s">
        <v>167</v>
      </c>
      <c r="Q30" s="25" t="s">
        <v>168</v>
      </c>
      <c r="R30" s="29">
        <v>10111</v>
      </c>
      <c r="S30" t="s">
        <v>529</v>
      </c>
      <c r="T30" t="s">
        <v>528</v>
      </c>
      <c r="U30" t="s">
        <v>662</v>
      </c>
      <c r="V30">
        <v>12345</v>
      </c>
    </row>
    <row r="31" spans="15:34" x14ac:dyDescent="0.25">
      <c r="P31" s="26" t="s">
        <v>169</v>
      </c>
      <c r="Q31" s="25" t="s">
        <v>170</v>
      </c>
      <c r="R31" s="26">
        <v>10113</v>
      </c>
      <c r="S31" t="s">
        <v>529</v>
      </c>
      <c r="T31" t="s">
        <v>528</v>
      </c>
      <c r="U31" t="s">
        <v>662</v>
      </c>
      <c r="V31">
        <v>12345</v>
      </c>
    </row>
    <row r="32" spans="15:34" x14ac:dyDescent="0.25">
      <c r="P32" s="26" t="s">
        <v>171</v>
      </c>
      <c r="Q32" s="25" t="s">
        <v>172</v>
      </c>
      <c r="R32" s="26">
        <v>10112</v>
      </c>
      <c r="S32" t="s">
        <v>529</v>
      </c>
      <c r="T32" t="s">
        <v>528</v>
      </c>
      <c r="U32" t="s">
        <v>662</v>
      </c>
      <c r="V32">
        <v>12345</v>
      </c>
    </row>
    <row r="33" spans="16:22" x14ac:dyDescent="0.25">
      <c r="P33" s="26" t="s">
        <v>173</v>
      </c>
      <c r="Q33" s="25" t="s">
        <v>174</v>
      </c>
      <c r="R33" s="26">
        <v>10116</v>
      </c>
      <c r="S33" t="s">
        <v>529</v>
      </c>
      <c r="T33" t="s">
        <v>528</v>
      </c>
      <c r="U33" t="s">
        <v>661</v>
      </c>
      <c r="V33">
        <v>12345</v>
      </c>
    </row>
    <row r="34" spans="16:22" x14ac:dyDescent="0.25">
      <c r="P34" s="26" t="s">
        <v>175</v>
      </c>
      <c r="Q34" s="25" t="s">
        <v>176</v>
      </c>
      <c r="R34" s="28">
        <v>10118</v>
      </c>
      <c r="S34" t="s">
        <v>529</v>
      </c>
      <c r="T34" t="s">
        <v>528</v>
      </c>
      <c r="U34" t="s">
        <v>662</v>
      </c>
      <c r="V34">
        <v>12345</v>
      </c>
    </row>
    <row r="35" spans="16:22" x14ac:dyDescent="0.25">
      <c r="P35" s="26" t="s">
        <v>177</v>
      </c>
      <c r="Q35" s="25" t="s">
        <v>178</v>
      </c>
      <c r="R35" s="28">
        <v>10121</v>
      </c>
      <c r="S35" t="s">
        <v>529</v>
      </c>
      <c r="T35" t="s">
        <v>528</v>
      </c>
      <c r="U35" t="s">
        <v>662</v>
      </c>
      <c r="V35">
        <v>12345</v>
      </c>
    </row>
    <row r="36" spans="16:22" x14ac:dyDescent="0.25">
      <c r="P36" s="26" t="s">
        <v>179</v>
      </c>
      <c r="Q36" s="25" t="s">
        <v>180</v>
      </c>
      <c r="R36" s="26">
        <v>10378</v>
      </c>
      <c r="S36" t="s">
        <v>529</v>
      </c>
      <c r="T36" t="s">
        <v>528</v>
      </c>
      <c r="U36" t="s">
        <v>661</v>
      </c>
      <c r="V36">
        <v>12345</v>
      </c>
    </row>
    <row r="37" spans="16:22" x14ac:dyDescent="0.25">
      <c r="P37" s="26" t="s">
        <v>181</v>
      </c>
      <c r="Q37" s="25" t="s">
        <v>182</v>
      </c>
      <c r="R37" s="26">
        <v>10123</v>
      </c>
      <c r="S37" t="s">
        <v>529</v>
      </c>
      <c r="T37" t="s">
        <v>528</v>
      </c>
      <c r="U37" t="s">
        <v>661</v>
      </c>
      <c r="V37">
        <v>12345</v>
      </c>
    </row>
    <row r="38" spans="16:22" x14ac:dyDescent="0.25">
      <c r="P38" s="26" t="s">
        <v>183</v>
      </c>
      <c r="Q38" s="25" t="s">
        <v>184</v>
      </c>
      <c r="R38" s="29">
        <v>10070</v>
      </c>
      <c r="S38" t="s">
        <v>529</v>
      </c>
      <c r="T38" t="s">
        <v>528</v>
      </c>
      <c r="U38" t="s">
        <v>660</v>
      </c>
      <c r="V38">
        <v>12345</v>
      </c>
    </row>
    <row r="39" spans="16:22" x14ac:dyDescent="0.25">
      <c r="P39" s="26" t="s">
        <v>185</v>
      </c>
      <c r="Q39" s="26" t="s">
        <v>185</v>
      </c>
      <c r="R39" s="26">
        <v>10135</v>
      </c>
      <c r="S39" t="s">
        <v>529</v>
      </c>
      <c r="T39" t="s">
        <v>528</v>
      </c>
      <c r="U39" t="s">
        <v>662</v>
      </c>
      <c r="V39">
        <v>12345</v>
      </c>
    </row>
    <row r="40" spans="16:22" x14ac:dyDescent="0.25">
      <c r="P40" s="26" t="s">
        <v>186</v>
      </c>
      <c r="Q40" s="25" t="s">
        <v>187</v>
      </c>
      <c r="R40" s="26">
        <v>10136</v>
      </c>
      <c r="S40" t="s">
        <v>529</v>
      </c>
      <c r="T40" t="s">
        <v>528</v>
      </c>
      <c r="U40" t="s">
        <v>662</v>
      </c>
      <c r="V40">
        <v>12345</v>
      </c>
    </row>
    <row r="41" spans="16:22" x14ac:dyDescent="0.25">
      <c r="P41" s="26" t="s">
        <v>188</v>
      </c>
      <c r="Q41" s="25" t="s">
        <v>189</v>
      </c>
      <c r="R41" s="26">
        <v>10071</v>
      </c>
      <c r="S41" t="s">
        <v>529</v>
      </c>
      <c r="T41" t="s">
        <v>528</v>
      </c>
      <c r="U41" t="s">
        <v>662</v>
      </c>
      <c r="V41">
        <v>12345</v>
      </c>
    </row>
    <row r="42" spans="16:22" x14ac:dyDescent="0.25">
      <c r="P42" s="26" t="s">
        <v>190</v>
      </c>
      <c r="Q42" s="25" t="s">
        <v>191</v>
      </c>
      <c r="R42" s="29">
        <v>10142</v>
      </c>
      <c r="S42" t="s">
        <v>529</v>
      </c>
      <c r="T42" t="s">
        <v>528</v>
      </c>
      <c r="U42" t="s">
        <v>660</v>
      </c>
      <c r="V42">
        <v>12345</v>
      </c>
    </row>
    <row r="43" spans="16:22" x14ac:dyDescent="0.25">
      <c r="P43" s="26" t="s">
        <v>192</v>
      </c>
      <c r="Q43" s="25" t="s">
        <v>193</v>
      </c>
      <c r="R43" s="26">
        <v>10144</v>
      </c>
      <c r="S43" t="s">
        <v>529</v>
      </c>
      <c r="T43" t="s">
        <v>528</v>
      </c>
      <c r="U43" t="s">
        <v>661</v>
      </c>
      <c r="V43">
        <v>12345</v>
      </c>
    </row>
    <row r="44" spans="16:22" x14ac:dyDescent="0.25">
      <c r="P44" s="26" t="s">
        <v>194</v>
      </c>
      <c r="Q44" s="25" t="s">
        <v>195</v>
      </c>
      <c r="R44" s="29">
        <v>10072</v>
      </c>
      <c r="S44" t="s">
        <v>529</v>
      </c>
      <c r="T44" t="s">
        <v>528</v>
      </c>
      <c r="U44" t="s">
        <v>661</v>
      </c>
      <c r="V44">
        <v>12345</v>
      </c>
    </row>
    <row r="45" spans="16:22" x14ac:dyDescent="0.25">
      <c r="P45" s="26" t="s">
        <v>196</v>
      </c>
      <c r="Q45" s="25" t="s">
        <v>197</v>
      </c>
      <c r="R45" s="26">
        <v>10156</v>
      </c>
      <c r="S45" t="s">
        <v>529</v>
      </c>
      <c r="T45" t="s">
        <v>528</v>
      </c>
      <c r="U45" t="s">
        <v>661</v>
      </c>
      <c r="V45">
        <v>12345</v>
      </c>
    </row>
    <row r="46" spans="16:22" x14ac:dyDescent="0.25">
      <c r="P46" s="26" t="s">
        <v>198</v>
      </c>
      <c r="Q46" s="25" t="s">
        <v>199</v>
      </c>
      <c r="R46" s="26">
        <v>10157</v>
      </c>
      <c r="S46" t="s">
        <v>529</v>
      </c>
      <c r="T46" t="s">
        <v>528</v>
      </c>
      <c r="U46" t="s">
        <v>662</v>
      </c>
      <c r="V46">
        <v>12345</v>
      </c>
    </row>
    <row r="47" spans="16:22" x14ac:dyDescent="0.25">
      <c r="P47" s="26" t="s">
        <v>200</v>
      </c>
      <c r="Q47" s="25" t="s">
        <v>201</v>
      </c>
      <c r="R47" s="26">
        <v>10158</v>
      </c>
      <c r="S47" t="s">
        <v>529</v>
      </c>
      <c r="T47" t="s">
        <v>528</v>
      </c>
      <c r="U47" t="s">
        <v>661</v>
      </c>
      <c r="V47">
        <v>12345</v>
      </c>
    </row>
    <row r="48" spans="16:22" x14ac:dyDescent="0.25">
      <c r="P48" s="26" t="s">
        <v>202</v>
      </c>
      <c r="Q48" s="25" t="s">
        <v>203</v>
      </c>
      <c r="R48" s="26">
        <v>10170</v>
      </c>
      <c r="S48" t="s">
        <v>529</v>
      </c>
      <c r="T48" t="s">
        <v>528</v>
      </c>
      <c r="U48" t="s">
        <v>662</v>
      </c>
      <c r="V48">
        <v>12345</v>
      </c>
    </row>
    <row r="49" spans="16:22" x14ac:dyDescent="0.25">
      <c r="P49" s="26" t="s">
        <v>204</v>
      </c>
      <c r="Q49" s="25" t="s">
        <v>205</v>
      </c>
      <c r="R49" s="29">
        <v>10408</v>
      </c>
      <c r="S49" t="s">
        <v>529</v>
      </c>
      <c r="T49" t="s">
        <v>528</v>
      </c>
      <c r="U49" t="s">
        <v>661</v>
      </c>
      <c r="V49">
        <v>12345</v>
      </c>
    </row>
    <row r="50" spans="16:22" x14ac:dyDescent="0.25">
      <c r="P50" s="26" t="s">
        <v>206</v>
      </c>
      <c r="Q50" s="25" t="s">
        <v>207</v>
      </c>
      <c r="R50" s="26">
        <v>10172</v>
      </c>
      <c r="S50" t="s">
        <v>529</v>
      </c>
      <c r="T50" t="s">
        <v>528</v>
      </c>
      <c r="U50" t="s">
        <v>661</v>
      </c>
      <c r="V50">
        <v>12345</v>
      </c>
    </row>
    <row r="51" spans="16:22" x14ac:dyDescent="0.25">
      <c r="P51" s="26" t="s">
        <v>208</v>
      </c>
      <c r="Q51" s="25" t="s">
        <v>209</v>
      </c>
      <c r="R51" s="26">
        <v>10173</v>
      </c>
      <c r="S51" t="s">
        <v>529</v>
      </c>
      <c r="T51" t="s">
        <v>528</v>
      </c>
      <c r="U51" t="s">
        <v>660</v>
      </c>
      <c r="V51">
        <v>12345</v>
      </c>
    </row>
    <row r="52" spans="16:22" x14ac:dyDescent="0.25">
      <c r="P52" s="26" t="s">
        <v>210</v>
      </c>
      <c r="Q52" s="25" t="s">
        <v>211</v>
      </c>
      <c r="R52" s="26">
        <v>10174</v>
      </c>
      <c r="S52" t="s">
        <v>529</v>
      </c>
      <c r="T52" t="s">
        <v>528</v>
      </c>
      <c r="U52" t="s">
        <v>660</v>
      </c>
      <c r="V52">
        <v>12345</v>
      </c>
    </row>
    <row r="53" spans="16:22" x14ac:dyDescent="0.25">
      <c r="P53" s="26" t="s">
        <v>212</v>
      </c>
      <c r="Q53" s="25" t="s">
        <v>213</v>
      </c>
      <c r="R53" s="26">
        <v>10177</v>
      </c>
      <c r="S53" t="s">
        <v>529</v>
      </c>
      <c r="T53" t="s">
        <v>528</v>
      </c>
      <c r="U53" t="s">
        <v>661</v>
      </c>
      <c r="V53">
        <v>12345</v>
      </c>
    </row>
    <row r="54" spans="16:22" x14ac:dyDescent="0.25">
      <c r="P54" s="26" t="s">
        <v>214</v>
      </c>
      <c r="Q54" s="30" t="s">
        <v>214</v>
      </c>
      <c r="R54" s="26">
        <v>10073</v>
      </c>
      <c r="S54" t="s">
        <v>529</v>
      </c>
      <c r="T54" t="s">
        <v>528</v>
      </c>
      <c r="U54" t="s">
        <v>661</v>
      </c>
      <c r="V54">
        <v>12345</v>
      </c>
    </row>
    <row r="55" spans="16:22" x14ac:dyDescent="0.25">
      <c r="P55" s="26" t="s">
        <v>215</v>
      </c>
      <c r="Q55" s="25" t="s">
        <v>216</v>
      </c>
      <c r="R55" s="26">
        <v>10179</v>
      </c>
      <c r="S55" t="s">
        <v>529</v>
      </c>
      <c r="T55" t="s">
        <v>528</v>
      </c>
      <c r="U55" t="s">
        <v>663</v>
      </c>
      <c r="V55">
        <v>12345</v>
      </c>
    </row>
    <row r="56" spans="16:22" x14ac:dyDescent="0.25">
      <c r="P56" s="26" t="s">
        <v>217</v>
      </c>
      <c r="Q56" s="25" t="s">
        <v>218</v>
      </c>
      <c r="R56" s="29">
        <v>10074</v>
      </c>
      <c r="S56" t="s">
        <v>529</v>
      </c>
      <c r="T56" t="s">
        <v>528</v>
      </c>
      <c r="U56" t="s">
        <v>662</v>
      </c>
      <c r="V56">
        <v>12345</v>
      </c>
    </row>
    <row r="57" spans="16:22" x14ac:dyDescent="0.25">
      <c r="P57" s="26" t="s">
        <v>219</v>
      </c>
      <c r="Q57" s="25" t="s">
        <v>220</v>
      </c>
      <c r="R57" s="29">
        <v>10183</v>
      </c>
      <c r="S57" t="s">
        <v>529</v>
      </c>
      <c r="T57" t="s">
        <v>528</v>
      </c>
      <c r="U57" t="s">
        <v>661</v>
      </c>
      <c r="V57">
        <v>12345</v>
      </c>
    </row>
    <row r="58" spans="16:22" x14ac:dyDescent="0.25">
      <c r="P58" s="26" t="s">
        <v>221</v>
      </c>
      <c r="Q58" s="25" t="s">
        <v>222</v>
      </c>
      <c r="R58" s="26">
        <v>10186</v>
      </c>
      <c r="S58" t="s">
        <v>529</v>
      </c>
      <c r="T58" t="s">
        <v>528</v>
      </c>
      <c r="U58" t="s">
        <v>663</v>
      </c>
      <c r="V58">
        <v>12345</v>
      </c>
    </row>
    <row r="59" spans="16:22" x14ac:dyDescent="0.25">
      <c r="P59" s="26" t="s">
        <v>223</v>
      </c>
      <c r="Q59" s="25" t="s">
        <v>224</v>
      </c>
      <c r="R59" s="26">
        <v>10190</v>
      </c>
      <c r="S59" t="s">
        <v>529</v>
      </c>
      <c r="T59" t="s">
        <v>528</v>
      </c>
      <c r="U59" t="s">
        <v>661</v>
      </c>
      <c r="V59">
        <v>12345</v>
      </c>
    </row>
    <row r="60" spans="16:22" x14ac:dyDescent="0.25">
      <c r="P60" s="26" t="s">
        <v>225</v>
      </c>
      <c r="Q60" s="25" t="s">
        <v>226</v>
      </c>
      <c r="R60" s="26">
        <v>10191</v>
      </c>
      <c r="S60" t="s">
        <v>529</v>
      </c>
      <c r="T60" t="s">
        <v>528</v>
      </c>
      <c r="U60" t="s">
        <v>661</v>
      </c>
      <c r="V60">
        <v>12345</v>
      </c>
    </row>
    <row r="61" spans="16:22" x14ac:dyDescent="0.25">
      <c r="P61" s="26" t="s">
        <v>227</v>
      </c>
      <c r="Q61" s="25" t="s">
        <v>228</v>
      </c>
      <c r="R61" s="26">
        <v>10197</v>
      </c>
      <c r="S61" t="s">
        <v>529</v>
      </c>
      <c r="T61" t="s">
        <v>528</v>
      </c>
      <c r="U61" t="s">
        <v>662</v>
      </c>
      <c r="V61">
        <v>12345</v>
      </c>
    </row>
    <row r="62" spans="16:22" x14ac:dyDescent="0.25">
      <c r="P62" s="26" t="s">
        <v>229</v>
      </c>
      <c r="Q62" s="25" t="s">
        <v>230</v>
      </c>
      <c r="R62" s="26">
        <v>10597</v>
      </c>
      <c r="S62" t="s">
        <v>529</v>
      </c>
      <c r="T62" t="s">
        <v>528</v>
      </c>
      <c r="U62" t="s">
        <v>662</v>
      </c>
      <c r="V62">
        <v>12345</v>
      </c>
    </row>
    <row r="63" spans="16:22" x14ac:dyDescent="0.25">
      <c r="P63" s="26" t="s">
        <v>231</v>
      </c>
      <c r="Q63" s="25" t="s">
        <v>232</v>
      </c>
      <c r="R63" s="26">
        <v>10076</v>
      </c>
      <c r="S63" t="s">
        <v>529</v>
      </c>
      <c r="T63" t="s">
        <v>528</v>
      </c>
      <c r="U63" t="s">
        <v>660</v>
      </c>
      <c r="V63">
        <v>12345</v>
      </c>
    </row>
    <row r="64" spans="16:22" x14ac:dyDescent="0.25">
      <c r="P64" s="26" t="s">
        <v>233</v>
      </c>
      <c r="Q64" s="25" t="s">
        <v>234</v>
      </c>
      <c r="R64" s="26">
        <v>10202</v>
      </c>
      <c r="S64" t="s">
        <v>529</v>
      </c>
      <c r="T64" t="s">
        <v>528</v>
      </c>
      <c r="U64" t="s">
        <v>662</v>
      </c>
      <c r="V64">
        <v>12345</v>
      </c>
    </row>
    <row r="65" spans="16:22" x14ac:dyDescent="0.25">
      <c r="P65" s="26" t="s">
        <v>235</v>
      </c>
      <c r="Q65" s="25" t="s">
        <v>236</v>
      </c>
      <c r="R65" s="26">
        <v>10203</v>
      </c>
      <c r="S65" t="s">
        <v>529</v>
      </c>
      <c r="T65" t="s">
        <v>528</v>
      </c>
      <c r="U65" t="s">
        <v>660</v>
      </c>
      <c r="V65">
        <v>12345</v>
      </c>
    </row>
    <row r="66" spans="16:22" x14ac:dyDescent="0.25">
      <c r="P66" s="26" t="s">
        <v>237</v>
      </c>
      <c r="Q66" s="25" t="s">
        <v>238</v>
      </c>
      <c r="R66" s="26">
        <v>10204</v>
      </c>
      <c r="S66" t="s">
        <v>529</v>
      </c>
      <c r="T66" t="s">
        <v>528</v>
      </c>
      <c r="U66" t="s">
        <v>660</v>
      </c>
      <c r="V66">
        <v>12345</v>
      </c>
    </row>
    <row r="67" spans="16:22" x14ac:dyDescent="0.25">
      <c r="P67" s="26" t="s">
        <v>239</v>
      </c>
      <c r="Q67" s="25" t="s">
        <v>240</v>
      </c>
      <c r="R67" s="26">
        <v>10209</v>
      </c>
      <c r="S67" t="s">
        <v>529</v>
      </c>
      <c r="T67" t="s">
        <v>528</v>
      </c>
      <c r="U67" t="s">
        <v>661</v>
      </c>
      <c r="V67">
        <v>12345</v>
      </c>
    </row>
    <row r="68" spans="16:22" x14ac:dyDescent="0.25">
      <c r="P68" s="26" t="s">
        <v>241</v>
      </c>
      <c r="Q68" s="25" t="s">
        <v>242</v>
      </c>
      <c r="R68" s="26">
        <v>12026</v>
      </c>
      <c r="S68" t="s">
        <v>529</v>
      </c>
      <c r="T68" t="s">
        <v>528</v>
      </c>
      <c r="U68" t="s">
        <v>661</v>
      </c>
      <c r="V68">
        <v>12345</v>
      </c>
    </row>
    <row r="69" spans="16:22" x14ac:dyDescent="0.25">
      <c r="P69" s="26" t="s">
        <v>243</v>
      </c>
      <c r="Q69" s="25" t="s">
        <v>244</v>
      </c>
      <c r="R69" s="26">
        <v>10230</v>
      </c>
      <c r="S69" t="s">
        <v>529</v>
      </c>
      <c r="T69" t="s">
        <v>528</v>
      </c>
      <c r="U69" t="s">
        <v>661</v>
      </c>
      <c r="V69">
        <v>12345</v>
      </c>
    </row>
    <row r="70" spans="16:22" x14ac:dyDescent="0.25">
      <c r="P70" s="26" t="s">
        <v>245</v>
      </c>
      <c r="Q70" s="25" t="s">
        <v>246</v>
      </c>
      <c r="R70" s="26">
        <v>10231</v>
      </c>
      <c r="S70" t="s">
        <v>529</v>
      </c>
      <c r="T70" t="s">
        <v>528</v>
      </c>
      <c r="U70" t="s">
        <v>661</v>
      </c>
      <c r="V70">
        <v>12345</v>
      </c>
    </row>
    <row r="71" spans="16:22" x14ac:dyDescent="0.25">
      <c r="P71" s="26" t="s">
        <v>247</v>
      </c>
      <c r="Q71" s="25" t="s">
        <v>248</v>
      </c>
      <c r="R71" s="26">
        <v>10234</v>
      </c>
      <c r="S71" t="s">
        <v>529</v>
      </c>
      <c r="T71" t="s">
        <v>528</v>
      </c>
      <c r="U71" t="s">
        <v>660</v>
      </c>
      <c r="V71">
        <v>12345</v>
      </c>
    </row>
    <row r="72" spans="16:22" x14ac:dyDescent="0.25">
      <c r="P72" s="25" t="s">
        <v>249</v>
      </c>
      <c r="Q72" s="25" t="s">
        <v>250</v>
      </c>
      <c r="R72" s="25">
        <v>13927</v>
      </c>
      <c r="S72" t="s">
        <v>529</v>
      </c>
      <c r="T72" t="s">
        <v>528</v>
      </c>
      <c r="U72" t="s">
        <v>663</v>
      </c>
      <c r="V72">
        <v>12345</v>
      </c>
    </row>
    <row r="73" spans="16:22" x14ac:dyDescent="0.25">
      <c r="P73" s="26" t="s">
        <v>251</v>
      </c>
      <c r="Q73" s="25" t="s">
        <v>252</v>
      </c>
      <c r="R73" s="29">
        <v>10235</v>
      </c>
      <c r="S73" t="s">
        <v>529</v>
      </c>
      <c r="T73" t="s">
        <v>528</v>
      </c>
      <c r="U73" t="s">
        <v>661</v>
      </c>
      <c r="V73">
        <v>12345</v>
      </c>
    </row>
    <row r="74" spans="16:22" x14ac:dyDescent="0.25">
      <c r="P74" s="26" t="s">
        <v>253</v>
      </c>
      <c r="Q74" s="25" t="s">
        <v>254</v>
      </c>
      <c r="R74" s="26">
        <v>10236</v>
      </c>
      <c r="S74" t="s">
        <v>529</v>
      </c>
      <c r="T74" t="s">
        <v>528</v>
      </c>
      <c r="U74" t="s">
        <v>662</v>
      </c>
      <c r="V74">
        <v>12345</v>
      </c>
    </row>
    <row r="75" spans="16:22" x14ac:dyDescent="0.25">
      <c r="P75" s="26" t="s">
        <v>255</v>
      </c>
      <c r="Q75" s="25" t="s">
        <v>256</v>
      </c>
      <c r="R75" s="26">
        <v>10237</v>
      </c>
      <c r="S75" t="s">
        <v>529</v>
      </c>
      <c r="T75" t="s">
        <v>528</v>
      </c>
      <c r="U75" t="s">
        <v>661</v>
      </c>
      <c r="V75">
        <v>12345</v>
      </c>
    </row>
    <row r="76" spans="16:22" x14ac:dyDescent="0.25">
      <c r="P76" s="26" t="s">
        <v>257</v>
      </c>
      <c r="Q76" s="25" t="s">
        <v>258</v>
      </c>
      <c r="R76" s="26">
        <v>10239</v>
      </c>
      <c r="S76" t="s">
        <v>529</v>
      </c>
      <c r="T76" t="s">
        <v>528</v>
      </c>
      <c r="U76" t="s">
        <v>663</v>
      </c>
      <c r="V76">
        <v>12345</v>
      </c>
    </row>
    <row r="77" spans="16:22" x14ac:dyDescent="0.25">
      <c r="P77" s="26" t="s">
        <v>259</v>
      </c>
      <c r="Q77" s="25" t="s">
        <v>260</v>
      </c>
      <c r="R77" s="26">
        <v>10242</v>
      </c>
      <c r="S77" t="s">
        <v>529</v>
      </c>
      <c r="T77" t="s">
        <v>528</v>
      </c>
      <c r="U77" t="s">
        <v>660</v>
      </c>
      <c r="V77">
        <v>12345</v>
      </c>
    </row>
    <row r="78" spans="16:22" x14ac:dyDescent="0.25">
      <c r="P78" s="26" t="s">
        <v>261</v>
      </c>
      <c r="Q78" s="25" t="s">
        <v>262</v>
      </c>
      <c r="R78" s="26">
        <v>10244</v>
      </c>
      <c r="S78" t="s">
        <v>529</v>
      </c>
      <c r="T78" t="s">
        <v>528</v>
      </c>
      <c r="U78" t="s">
        <v>660</v>
      </c>
      <c r="V78">
        <v>12345</v>
      </c>
    </row>
    <row r="79" spans="16:22" x14ac:dyDescent="0.25">
      <c r="P79" s="26" t="s">
        <v>263</v>
      </c>
      <c r="Q79" s="25" t="s">
        <v>264</v>
      </c>
      <c r="R79" s="26">
        <v>10246</v>
      </c>
      <c r="S79" t="s">
        <v>529</v>
      </c>
      <c r="T79" t="s">
        <v>528</v>
      </c>
      <c r="U79" t="s">
        <v>661</v>
      </c>
      <c r="V79">
        <v>12345</v>
      </c>
    </row>
    <row r="80" spans="16:22" x14ac:dyDescent="0.25">
      <c r="P80" s="26" t="s">
        <v>265</v>
      </c>
      <c r="Q80" s="25" t="s">
        <v>266</v>
      </c>
      <c r="R80" s="29">
        <v>10247</v>
      </c>
      <c r="S80" t="s">
        <v>529</v>
      </c>
      <c r="T80" t="s">
        <v>528</v>
      </c>
      <c r="U80" t="s">
        <v>661</v>
      </c>
      <c r="V80">
        <v>12345</v>
      </c>
    </row>
    <row r="81" spans="16:22" x14ac:dyDescent="0.25">
      <c r="P81" s="26" t="s">
        <v>267</v>
      </c>
      <c r="Q81" s="25" t="s">
        <v>268</v>
      </c>
      <c r="R81" s="26">
        <v>10078</v>
      </c>
      <c r="S81" t="s">
        <v>529</v>
      </c>
      <c r="T81" t="s">
        <v>528</v>
      </c>
      <c r="U81" t="s">
        <v>661</v>
      </c>
      <c r="V81">
        <v>12345</v>
      </c>
    </row>
    <row r="82" spans="16:22" x14ac:dyDescent="0.25">
      <c r="P82" s="26" t="s">
        <v>269</v>
      </c>
      <c r="Q82" s="25" t="s">
        <v>270</v>
      </c>
      <c r="R82" s="26">
        <v>10079</v>
      </c>
      <c r="S82" t="s">
        <v>529</v>
      </c>
      <c r="T82" t="s">
        <v>528</v>
      </c>
      <c r="U82" t="s">
        <v>662</v>
      </c>
      <c r="V82">
        <v>12345</v>
      </c>
    </row>
    <row r="83" spans="16:22" x14ac:dyDescent="0.25">
      <c r="P83" s="26" t="s">
        <v>271</v>
      </c>
      <c r="Q83" s="25" t="s">
        <v>272</v>
      </c>
      <c r="R83" s="26">
        <v>10256</v>
      </c>
      <c r="S83" t="s">
        <v>529</v>
      </c>
      <c r="T83" t="s">
        <v>528</v>
      </c>
      <c r="U83" t="s">
        <v>662</v>
      </c>
      <c r="V83">
        <v>12345</v>
      </c>
    </row>
    <row r="84" spans="16:22" x14ac:dyDescent="0.25">
      <c r="P84" s="26" t="s">
        <v>273</v>
      </c>
      <c r="Q84" s="25" t="s">
        <v>274</v>
      </c>
      <c r="R84" s="26">
        <v>10080</v>
      </c>
      <c r="S84" t="s">
        <v>529</v>
      </c>
      <c r="T84" t="s">
        <v>528</v>
      </c>
      <c r="U84" t="s">
        <v>661</v>
      </c>
      <c r="V84">
        <v>12345</v>
      </c>
    </row>
    <row r="85" spans="16:22" x14ac:dyDescent="0.25">
      <c r="P85" s="26" t="s">
        <v>275</v>
      </c>
      <c r="Q85" s="25" t="s">
        <v>276</v>
      </c>
      <c r="R85" s="26">
        <v>10081</v>
      </c>
      <c r="S85" t="s">
        <v>529</v>
      </c>
      <c r="T85" t="s">
        <v>528</v>
      </c>
      <c r="U85" t="s">
        <v>662</v>
      </c>
      <c r="V85">
        <v>12345</v>
      </c>
    </row>
    <row r="86" spans="16:22" x14ac:dyDescent="0.25">
      <c r="P86" s="26" t="s">
        <v>277</v>
      </c>
      <c r="Q86" s="25" t="s">
        <v>278</v>
      </c>
      <c r="R86" s="26">
        <v>10082</v>
      </c>
      <c r="S86" t="s">
        <v>529</v>
      </c>
      <c r="T86" t="s">
        <v>528</v>
      </c>
      <c r="U86" t="s">
        <v>660</v>
      </c>
      <c r="V86">
        <v>12345</v>
      </c>
    </row>
    <row r="87" spans="16:22" x14ac:dyDescent="0.25">
      <c r="P87" s="26" t="s">
        <v>279</v>
      </c>
      <c r="Q87" s="25" t="s">
        <v>280</v>
      </c>
      <c r="R87" s="26">
        <v>10258</v>
      </c>
      <c r="S87" t="s">
        <v>529</v>
      </c>
      <c r="T87" t="s">
        <v>528</v>
      </c>
      <c r="U87" t="s">
        <v>663</v>
      </c>
      <c r="V87">
        <v>12345</v>
      </c>
    </row>
    <row r="88" spans="16:22" x14ac:dyDescent="0.25">
      <c r="P88" s="26" t="s">
        <v>281</v>
      </c>
      <c r="Q88" s="25" t="s">
        <v>282</v>
      </c>
      <c r="R88" s="26">
        <v>10259</v>
      </c>
      <c r="S88" t="s">
        <v>529</v>
      </c>
      <c r="T88" t="s">
        <v>528</v>
      </c>
      <c r="U88" t="s">
        <v>663</v>
      </c>
      <c r="V88">
        <v>12345</v>
      </c>
    </row>
    <row r="89" spans="16:22" x14ac:dyDescent="0.25">
      <c r="P89" s="26" t="s">
        <v>283</v>
      </c>
      <c r="Q89" s="25" t="s">
        <v>284</v>
      </c>
      <c r="R89" s="26">
        <v>10260</v>
      </c>
      <c r="S89" t="s">
        <v>529</v>
      </c>
      <c r="T89" t="s">
        <v>528</v>
      </c>
      <c r="U89" t="s">
        <v>661</v>
      </c>
      <c r="V89">
        <v>12345</v>
      </c>
    </row>
    <row r="90" spans="16:22" x14ac:dyDescent="0.25">
      <c r="P90" s="26" t="s">
        <v>285</v>
      </c>
      <c r="Q90" s="25" t="s">
        <v>286</v>
      </c>
      <c r="R90" s="26">
        <v>10083</v>
      </c>
      <c r="S90" t="s">
        <v>529</v>
      </c>
      <c r="T90" t="s">
        <v>528</v>
      </c>
      <c r="U90" t="s">
        <v>662</v>
      </c>
      <c r="V90">
        <v>12345</v>
      </c>
    </row>
    <row r="91" spans="16:22" x14ac:dyDescent="0.25">
      <c r="P91" s="26" t="s">
        <v>287</v>
      </c>
      <c r="Q91" s="25" t="s">
        <v>288</v>
      </c>
      <c r="R91" s="28">
        <v>10273</v>
      </c>
      <c r="S91" t="s">
        <v>529</v>
      </c>
      <c r="T91" t="s">
        <v>528</v>
      </c>
      <c r="U91" t="s">
        <v>661</v>
      </c>
      <c r="V91">
        <v>12345</v>
      </c>
    </row>
    <row r="92" spans="16:22" x14ac:dyDescent="0.25">
      <c r="P92" s="26" t="s">
        <v>289</v>
      </c>
      <c r="Q92" s="25" t="s">
        <v>290</v>
      </c>
      <c r="R92" s="26">
        <v>10278</v>
      </c>
      <c r="S92" t="s">
        <v>529</v>
      </c>
      <c r="T92" t="s">
        <v>528</v>
      </c>
      <c r="U92" t="s">
        <v>660</v>
      </c>
      <c r="V92">
        <v>12345</v>
      </c>
    </row>
    <row r="93" spans="16:22" x14ac:dyDescent="0.25">
      <c r="P93" s="26" t="s">
        <v>291</v>
      </c>
      <c r="Q93" s="25" t="s">
        <v>292</v>
      </c>
      <c r="R93" s="26">
        <v>10279</v>
      </c>
      <c r="S93" t="s">
        <v>529</v>
      </c>
      <c r="T93" t="s">
        <v>528</v>
      </c>
      <c r="U93" t="s">
        <v>662</v>
      </c>
      <c r="V93">
        <v>12345</v>
      </c>
    </row>
    <row r="94" spans="16:22" x14ac:dyDescent="0.25">
      <c r="P94" s="26" t="s">
        <v>293</v>
      </c>
      <c r="Q94" s="25" t="s">
        <v>294</v>
      </c>
      <c r="R94" s="28">
        <v>10284</v>
      </c>
      <c r="S94" t="s">
        <v>529</v>
      </c>
      <c r="T94" t="s">
        <v>528</v>
      </c>
      <c r="U94" t="s">
        <v>661</v>
      </c>
      <c r="V94">
        <v>12345</v>
      </c>
    </row>
    <row r="95" spans="16:22" x14ac:dyDescent="0.25">
      <c r="P95" s="26" t="s">
        <v>295</v>
      </c>
      <c r="Q95" s="25" t="s">
        <v>296</v>
      </c>
      <c r="R95" s="26">
        <v>10285</v>
      </c>
      <c r="S95" t="s">
        <v>529</v>
      </c>
      <c r="T95" t="s">
        <v>528</v>
      </c>
      <c r="U95" t="s">
        <v>661</v>
      </c>
      <c r="V95">
        <v>12345</v>
      </c>
    </row>
    <row r="96" spans="16:22" x14ac:dyDescent="0.25">
      <c r="P96" s="26" t="s">
        <v>297</v>
      </c>
      <c r="Q96" s="25" t="s">
        <v>298</v>
      </c>
      <c r="R96" s="26">
        <v>10286</v>
      </c>
      <c r="S96" t="s">
        <v>529</v>
      </c>
      <c r="T96" t="s">
        <v>528</v>
      </c>
      <c r="U96" t="s">
        <v>661</v>
      </c>
      <c r="V96">
        <v>12345</v>
      </c>
    </row>
    <row r="97" spans="16:22" x14ac:dyDescent="0.25">
      <c r="P97" s="26" t="s">
        <v>299</v>
      </c>
      <c r="Q97" s="25" t="s">
        <v>300</v>
      </c>
      <c r="R97" s="26">
        <v>10288</v>
      </c>
      <c r="S97" t="s">
        <v>529</v>
      </c>
      <c r="T97" t="s">
        <v>528</v>
      </c>
      <c r="U97" t="s">
        <v>661</v>
      </c>
      <c r="V97">
        <v>12345</v>
      </c>
    </row>
    <row r="98" spans="16:22" x14ac:dyDescent="0.25">
      <c r="P98" s="26" t="s">
        <v>301</v>
      </c>
      <c r="Q98" s="25" t="s">
        <v>302</v>
      </c>
      <c r="R98" s="26">
        <v>10291</v>
      </c>
      <c r="S98" t="s">
        <v>529</v>
      </c>
      <c r="T98" t="s">
        <v>528</v>
      </c>
      <c r="U98" t="s">
        <v>662</v>
      </c>
      <c r="V98">
        <v>12345</v>
      </c>
    </row>
    <row r="99" spans="16:22" x14ac:dyDescent="0.25">
      <c r="P99" s="26" t="s">
        <v>303</v>
      </c>
      <c r="Q99" s="25" t="s">
        <v>304</v>
      </c>
      <c r="R99" s="26">
        <v>10294</v>
      </c>
      <c r="S99" t="s">
        <v>529</v>
      </c>
      <c r="T99" t="s">
        <v>528</v>
      </c>
      <c r="U99" t="s">
        <v>661</v>
      </c>
      <c r="V99">
        <v>12345</v>
      </c>
    </row>
    <row r="100" spans="16:22" x14ac:dyDescent="0.25">
      <c r="P100" s="26" t="s">
        <v>305</v>
      </c>
      <c r="Q100" s="25" t="s">
        <v>306</v>
      </c>
      <c r="R100" s="29">
        <v>10304</v>
      </c>
      <c r="S100" t="s">
        <v>529</v>
      </c>
      <c r="T100" t="s">
        <v>528</v>
      </c>
      <c r="U100" t="s">
        <v>661</v>
      </c>
      <c r="V100">
        <v>12345</v>
      </c>
    </row>
    <row r="101" spans="16:22" x14ac:dyDescent="0.25">
      <c r="P101" s="26" t="s">
        <v>307</v>
      </c>
      <c r="Q101" s="25" t="s">
        <v>308</v>
      </c>
      <c r="R101" s="26">
        <v>10306</v>
      </c>
      <c r="S101" t="s">
        <v>529</v>
      </c>
      <c r="T101" t="s">
        <v>528</v>
      </c>
      <c r="U101" t="s">
        <v>661</v>
      </c>
      <c r="V101">
        <v>12345</v>
      </c>
    </row>
    <row r="102" spans="16:22" x14ac:dyDescent="0.25">
      <c r="P102" s="26" t="s">
        <v>309</v>
      </c>
      <c r="Q102" s="25" t="s">
        <v>310</v>
      </c>
      <c r="R102" s="26">
        <v>10307</v>
      </c>
      <c r="S102" t="s">
        <v>529</v>
      </c>
      <c r="T102" t="s">
        <v>528</v>
      </c>
      <c r="U102" t="s">
        <v>661</v>
      </c>
      <c r="V102">
        <v>12345</v>
      </c>
    </row>
    <row r="103" spans="16:22" x14ac:dyDescent="0.25">
      <c r="P103" s="26" t="s">
        <v>311</v>
      </c>
      <c r="Q103" s="25" t="s">
        <v>312</v>
      </c>
      <c r="R103" s="29">
        <v>10086</v>
      </c>
      <c r="S103" t="s">
        <v>529</v>
      </c>
      <c r="T103" t="s">
        <v>528</v>
      </c>
      <c r="U103" t="s">
        <v>661</v>
      </c>
      <c r="V103">
        <v>12345</v>
      </c>
    </row>
    <row r="104" spans="16:22" x14ac:dyDescent="0.25">
      <c r="P104" s="26" t="s">
        <v>313</v>
      </c>
      <c r="Q104" s="25" t="s">
        <v>314</v>
      </c>
      <c r="R104" s="26">
        <v>10298</v>
      </c>
      <c r="S104" t="s">
        <v>529</v>
      </c>
      <c r="T104" t="s">
        <v>528</v>
      </c>
      <c r="U104" t="s">
        <v>662</v>
      </c>
      <c r="V104">
        <v>12345</v>
      </c>
    </row>
    <row r="105" spans="16:22" x14ac:dyDescent="0.25">
      <c r="P105" s="26" t="s">
        <v>315</v>
      </c>
      <c r="Q105" s="25" t="s">
        <v>316</v>
      </c>
      <c r="R105" s="26">
        <v>10087</v>
      </c>
      <c r="S105" t="s">
        <v>529</v>
      </c>
      <c r="T105" t="s">
        <v>528</v>
      </c>
      <c r="U105" t="s">
        <v>661</v>
      </c>
      <c r="V105">
        <v>12345</v>
      </c>
    </row>
    <row r="106" spans="16:22" x14ac:dyDescent="0.25">
      <c r="P106" s="26" t="s">
        <v>317</v>
      </c>
      <c r="Q106" s="25" t="s">
        <v>318</v>
      </c>
      <c r="R106" s="26">
        <v>10706</v>
      </c>
      <c r="S106" t="s">
        <v>529</v>
      </c>
      <c r="T106" t="s">
        <v>528</v>
      </c>
      <c r="U106" t="s">
        <v>661</v>
      </c>
      <c r="V106">
        <v>12345</v>
      </c>
    </row>
    <row r="107" spans="16:22" x14ac:dyDescent="0.25">
      <c r="P107" s="26" t="s">
        <v>319</v>
      </c>
      <c r="Q107" s="25" t="s">
        <v>320</v>
      </c>
      <c r="R107" s="29">
        <v>10331</v>
      </c>
      <c r="S107" t="s">
        <v>529</v>
      </c>
      <c r="T107" t="s">
        <v>528</v>
      </c>
      <c r="U107" t="s">
        <v>660</v>
      </c>
      <c r="V107">
        <v>12345</v>
      </c>
    </row>
    <row r="108" spans="16:22" x14ac:dyDescent="0.25">
      <c r="P108" s="26" t="s">
        <v>321</v>
      </c>
      <c r="Q108" s="25" t="s">
        <v>322</v>
      </c>
      <c r="R108" s="26">
        <v>10333</v>
      </c>
      <c r="S108" t="s">
        <v>529</v>
      </c>
      <c r="T108" t="s">
        <v>528</v>
      </c>
      <c r="U108" t="s">
        <v>663</v>
      </c>
      <c r="V108">
        <v>12345</v>
      </c>
    </row>
    <row r="109" spans="16:22" x14ac:dyDescent="0.25">
      <c r="P109" s="26" t="s">
        <v>323</v>
      </c>
      <c r="Q109" s="25" t="s">
        <v>324</v>
      </c>
      <c r="R109" s="26">
        <v>10089</v>
      </c>
      <c r="S109" t="s">
        <v>529</v>
      </c>
      <c r="T109" t="s">
        <v>528</v>
      </c>
      <c r="U109" t="s">
        <v>661</v>
      </c>
      <c r="V109">
        <v>12345</v>
      </c>
    </row>
    <row r="110" spans="16:22" x14ac:dyDescent="0.25">
      <c r="P110" s="26" t="s">
        <v>325</v>
      </c>
      <c r="Q110" s="25" t="s">
        <v>326</v>
      </c>
      <c r="R110" s="26">
        <v>10338</v>
      </c>
      <c r="S110" t="s">
        <v>529</v>
      </c>
      <c r="T110" t="s">
        <v>528</v>
      </c>
      <c r="U110" t="s">
        <v>660</v>
      </c>
      <c r="V110">
        <v>12345</v>
      </c>
    </row>
    <row r="111" spans="16:22" x14ac:dyDescent="0.25">
      <c r="P111" s="26" t="s">
        <v>327</v>
      </c>
      <c r="Q111" s="25" t="s">
        <v>328</v>
      </c>
      <c r="R111" s="26">
        <v>10091</v>
      </c>
      <c r="S111" t="s">
        <v>529</v>
      </c>
      <c r="T111" t="s">
        <v>528</v>
      </c>
      <c r="U111" t="s">
        <v>660</v>
      </c>
      <c r="V111">
        <v>12345</v>
      </c>
    </row>
    <row r="112" spans="16:22" x14ac:dyDescent="0.25">
      <c r="P112" s="26" t="s">
        <v>329</v>
      </c>
      <c r="Q112" s="25" t="s">
        <v>330</v>
      </c>
      <c r="R112" s="26">
        <v>10342</v>
      </c>
      <c r="S112" t="s">
        <v>529</v>
      </c>
      <c r="T112" t="s">
        <v>528</v>
      </c>
      <c r="U112" t="s">
        <v>662</v>
      </c>
      <c r="V112">
        <v>12345</v>
      </c>
    </row>
    <row r="113" spans="16:22" x14ac:dyDescent="0.25">
      <c r="P113" s="26" t="s">
        <v>331</v>
      </c>
      <c r="Q113" s="25" t="s">
        <v>332</v>
      </c>
      <c r="R113" s="26">
        <v>10343</v>
      </c>
      <c r="S113" t="s">
        <v>529</v>
      </c>
      <c r="T113" t="s">
        <v>528</v>
      </c>
      <c r="U113" t="s">
        <v>660</v>
      </c>
      <c r="V113">
        <v>12345</v>
      </c>
    </row>
    <row r="114" spans="16:22" x14ac:dyDescent="0.25">
      <c r="P114" s="26" t="s">
        <v>333</v>
      </c>
      <c r="Q114" s="25" t="s">
        <v>334</v>
      </c>
      <c r="R114" s="26">
        <v>10349</v>
      </c>
      <c r="S114" t="s">
        <v>529</v>
      </c>
      <c r="T114" t="s">
        <v>528</v>
      </c>
      <c r="U114" t="s">
        <v>661</v>
      </c>
      <c r="V114">
        <v>12345</v>
      </c>
    </row>
    <row r="115" spans="16:22" x14ac:dyDescent="0.25">
      <c r="P115" s="26" t="s">
        <v>335</v>
      </c>
      <c r="Q115" s="25" t="s">
        <v>336</v>
      </c>
      <c r="R115" s="26">
        <v>10352</v>
      </c>
      <c r="S115" t="s">
        <v>529</v>
      </c>
      <c r="T115" t="s">
        <v>528</v>
      </c>
      <c r="U115" t="s">
        <v>661</v>
      </c>
      <c r="V115">
        <v>12345</v>
      </c>
    </row>
    <row r="116" spans="16:22" x14ac:dyDescent="0.25">
      <c r="P116" s="26" t="s">
        <v>337</v>
      </c>
      <c r="Q116" s="25" t="s">
        <v>338</v>
      </c>
      <c r="R116" s="26">
        <v>10354</v>
      </c>
      <c r="S116" t="s">
        <v>529</v>
      </c>
      <c r="T116" t="s">
        <v>528</v>
      </c>
      <c r="U116" t="s">
        <v>661</v>
      </c>
      <c r="V116">
        <v>12345</v>
      </c>
    </row>
    <row r="117" spans="16:22" x14ac:dyDescent="0.25">
      <c r="P117" s="26" t="s">
        <v>339</v>
      </c>
      <c r="Q117" s="25" t="s">
        <v>340</v>
      </c>
      <c r="R117" s="29">
        <v>10094</v>
      </c>
      <c r="S117" t="s">
        <v>529</v>
      </c>
      <c r="T117" t="s">
        <v>528</v>
      </c>
      <c r="U117" t="s">
        <v>660</v>
      </c>
      <c r="V117">
        <v>12345</v>
      </c>
    </row>
    <row r="118" spans="16:22" x14ac:dyDescent="0.25">
      <c r="P118" s="26" t="s">
        <v>341</v>
      </c>
      <c r="Q118" s="25" t="s">
        <v>342</v>
      </c>
      <c r="R118" s="26">
        <v>10360</v>
      </c>
      <c r="S118" t="s">
        <v>529</v>
      </c>
      <c r="T118" t="s">
        <v>528</v>
      </c>
      <c r="U118" t="s">
        <v>660</v>
      </c>
      <c r="V118">
        <v>12345</v>
      </c>
    </row>
    <row r="119" spans="16:22" x14ac:dyDescent="0.25">
      <c r="P119" s="26" t="s">
        <v>343</v>
      </c>
      <c r="Q119" s="25" t="s">
        <v>344</v>
      </c>
      <c r="R119" s="26">
        <v>10363</v>
      </c>
      <c r="S119" t="s">
        <v>529</v>
      </c>
      <c r="T119" t="s">
        <v>528</v>
      </c>
      <c r="U119" t="s">
        <v>662</v>
      </c>
      <c r="V119">
        <v>12345</v>
      </c>
    </row>
    <row r="120" spans="16:22" x14ac:dyDescent="0.25">
      <c r="P120" s="26" t="s">
        <v>345</v>
      </c>
      <c r="Q120" s="25" t="s">
        <v>346</v>
      </c>
      <c r="R120" s="26">
        <v>10379</v>
      </c>
      <c r="S120" t="s">
        <v>529</v>
      </c>
      <c r="T120" t="s">
        <v>528</v>
      </c>
      <c r="U120" t="s">
        <v>661</v>
      </c>
      <c r="V120">
        <v>12345</v>
      </c>
    </row>
    <row r="121" spans="16:22" x14ac:dyDescent="0.25">
      <c r="P121" s="26" t="s">
        <v>347</v>
      </c>
      <c r="Q121" s="25" t="s">
        <v>348</v>
      </c>
      <c r="R121" s="26">
        <v>10095</v>
      </c>
      <c r="S121" t="s">
        <v>529</v>
      </c>
      <c r="T121" t="s">
        <v>528</v>
      </c>
      <c r="U121" t="s">
        <v>661</v>
      </c>
      <c r="V121">
        <v>12345</v>
      </c>
    </row>
    <row r="122" spans="16:22" x14ac:dyDescent="0.25">
      <c r="P122" s="26" t="s">
        <v>349</v>
      </c>
      <c r="Q122" s="25" t="s">
        <v>350</v>
      </c>
      <c r="R122" s="26">
        <v>10369</v>
      </c>
      <c r="S122" t="s">
        <v>529</v>
      </c>
      <c r="T122" t="s">
        <v>528</v>
      </c>
      <c r="U122" t="s">
        <v>662</v>
      </c>
      <c r="V122">
        <v>12345</v>
      </c>
    </row>
    <row r="123" spans="16:22" x14ac:dyDescent="0.25">
      <c r="P123" s="26" t="s">
        <v>351</v>
      </c>
      <c r="Q123" s="25" t="s">
        <v>352</v>
      </c>
      <c r="R123" s="26">
        <v>10370</v>
      </c>
      <c r="S123" t="s">
        <v>529</v>
      </c>
      <c r="T123" t="s">
        <v>528</v>
      </c>
      <c r="U123" t="s">
        <v>661</v>
      </c>
      <c r="V123">
        <v>12345</v>
      </c>
    </row>
    <row r="124" spans="16:22" x14ac:dyDescent="0.25">
      <c r="P124" s="26" t="s">
        <v>353</v>
      </c>
      <c r="Q124" s="25" t="s">
        <v>354</v>
      </c>
      <c r="R124" s="26">
        <v>10371</v>
      </c>
      <c r="S124" t="s">
        <v>529</v>
      </c>
      <c r="T124" t="s">
        <v>528</v>
      </c>
      <c r="U124" t="s">
        <v>661</v>
      </c>
      <c r="V124">
        <v>12345</v>
      </c>
    </row>
    <row r="125" spans="16:22" x14ac:dyDescent="0.25">
      <c r="P125" s="26" t="s">
        <v>355</v>
      </c>
      <c r="Q125" s="25" t="s">
        <v>356</v>
      </c>
      <c r="R125" s="28">
        <v>10376</v>
      </c>
      <c r="S125" t="s">
        <v>529</v>
      </c>
      <c r="T125" t="s">
        <v>528</v>
      </c>
      <c r="U125" t="s">
        <v>662</v>
      </c>
      <c r="V125">
        <v>12345</v>
      </c>
    </row>
    <row r="126" spans="16:22" x14ac:dyDescent="0.25">
      <c r="P126" s="26" t="s">
        <v>357</v>
      </c>
      <c r="Q126" s="25" t="s">
        <v>358</v>
      </c>
      <c r="R126" s="26">
        <v>10097</v>
      </c>
      <c r="S126" t="s">
        <v>529</v>
      </c>
      <c r="T126" t="s">
        <v>528</v>
      </c>
      <c r="U126" t="s">
        <v>663</v>
      </c>
      <c r="V126">
        <v>12345</v>
      </c>
    </row>
    <row r="127" spans="16:22" x14ac:dyDescent="0.25">
      <c r="P127" s="26" t="s">
        <v>359</v>
      </c>
      <c r="Q127" s="25" t="s">
        <v>360</v>
      </c>
      <c r="R127" s="29">
        <v>10388</v>
      </c>
      <c r="S127" t="s">
        <v>529</v>
      </c>
      <c r="T127" t="s">
        <v>528</v>
      </c>
      <c r="U127" t="s">
        <v>662</v>
      </c>
      <c r="V127">
        <v>12345</v>
      </c>
    </row>
    <row r="128" spans="16:22" x14ac:dyDescent="0.25">
      <c r="P128" s="26" t="s">
        <v>361</v>
      </c>
      <c r="Q128" s="25" t="s">
        <v>362</v>
      </c>
      <c r="R128" s="26">
        <v>10482</v>
      </c>
      <c r="S128" t="s">
        <v>529</v>
      </c>
      <c r="T128" t="s">
        <v>528</v>
      </c>
      <c r="U128" t="s">
        <v>662</v>
      </c>
      <c r="V128">
        <v>12345</v>
      </c>
    </row>
    <row r="129" spans="16:22" x14ac:dyDescent="0.25">
      <c r="P129" s="26" t="s">
        <v>363</v>
      </c>
      <c r="Q129" s="25" t="s">
        <v>364</v>
      </c>
      <c r="R129" s="26">
        <v>10391</v>
      </c>
      <c r="S129" t="s">
        <v>529</v>
      </c>
      <c r="T129" t="s">
        <v>528</v>
      </c>
      <c r="U129" t="s">
        <v>660</v>
      </c>
      <c r="V129">
        <v>12345</v>
      </c>
    </row>
    <row r="130" spans="16:22" x14ac:dyDescent="0.25">
      <c r="P130" s="26" t="s">
        <v>365</v>
      </c>
      <c r="Q130" s="26" t="s">
        <v>366</v>
      </c>
      <c r="R130" s="26">
        <v>10399</v>
      </c>
      <c r="S130" t="s">
        <v>529</v>
      </c>
      <c r="T130" t="s">
        <v>528</v>
      </c>
      <c r="U130" t="s">
        <v>661</v>
      </c>
      <c r="V130">
        <v>12345</v>
      </c>
    </row>
    <row r="131" spans="16:22" x14ac:dyDescent="0.25">
      <c r="P131" s="26" t="s">
        <v>367</v>
      </c>
      <c r="Q131" s="25" t="s">
        <v>368</v>
      </c>
      <c r="R131" s="26">
        <v>10406</v>
      </c>
      <c r="S131" t="s">
        <v>529</v>
      </c>
      <c r="T131" t="s">
        <v>528</v>
      </c>
      <c r="U131" t="s">
        <v>662</v>
      </c>
      <c r="V131">
        <v>12345</v>
      </c>
    </row>
    <row r="132" spans="16:22" x14ac:dyDescent="0.25">
      <c r="P132" s="26" t="s">
        <v>369</v>
      </c>
      <c r="Q132" s="25" t="s">
        <v>370</v>
      </c>
      <c r="R132" s="29">
        <v>10426</v>
      </c>
      <c r="S132" t="s">
        <v>529</v>
      </c>
      <c r="T132" t="s">
        <v>528</v>
      </c>
      <c r="U132" t="s">
        <v>661</v>
      </c>
      <c r="V132">
        <v>12345</v>
      </c>
    </row>
    <row r="133" spans="16:22" x14ac:dyDescent="0.25">
      <c r="P133" s="26" t="s">
        <v>371</v>
      </c>
      <c r="Q133" s="25" t="s">
        <v>372</v>
      </c>
      <c r="R133" s="26">
        <v>10434</v>
      </c>
      <c r="S133" t="s">
        <v>529</v>
      </c>
      <c r="T133" t="s">
        <v>528</v>
      </c>
      <c r="U133" t="s">
        <v>661</v>
      </c>
      <c r="V133">
        <v>12345</v>
      </c>
    </row>
    <row r="134" spans="16:22" x14ac:dyDescent="0.25">
      <c r="P134" s="26" t="s">
        <v>373</v>
      </c>
      <c r="Q134" s="25" t="s">
        <v>374</v>
      </c>
      <c r="R134" s="26">
        <v>10436</v>
      </c>
      <c r="S134" t="s">
        <v>529</v>
      </c>
      <c r="T134" t="s">
        <v>528</v>
      </c>
      <c r="U134" t="s">
        <v>663</v>
      </c>
      <c r="V134">
        <v>12345</v>
      </c>
    </row>
    <row r="135" spans="16:22" x14ac:dyDescent="0.25">
      <c r="P135" s="26" t="s">
        <v>375</v>
      </c>
      <c r="Q135" s="25" t="s">
        <v>376</v>
      </c>
      <c r="R135" s="26">
        <v>10440</v>
      </c>
      <c r="S135" t="s">
        <v>529</v>
      </c>
      <c r="T135" t="s">
        <v>528</v>
      </c>
      <c r="U135" t="s">
        <v>661</v>
      </c>
      <c r="V135">
        <v>12345</v>
      </c>
    </row>
    <row r="136" spans="16:22" x14ac:dyDescent="0.25">
      <c r="P136" s="26" t="s">
        <v>377</v>
      </c>
      <c r="Q136" s="25" t="s">
        <v>378</v>
      </c>
      <c r="R136" s="26">
        <v>10442</v>
      </c>
      <c r="S136" t="s">
        <v>529</v>
      </c>
      <c r="T136" t="s">
        <v>528</v>
      </c>
      <c r="U136" t="s">
        <v>662</v>
      </c>
      <c r="V136">
        <v>12345</v>
      </c>
    </row>
    <row r="137" spans="16:22" x14ac:dyDescent="0.25">
      <c r="P137" s="26" t="s">
        <v>379</v>
      </c>
      <c r="Q137" s="25" t="s">
        <v>380</v>
      </c>
      <c r="R137" s="26">
        <v>11680</v>
      </c>
      <c r="S137" t="s">
        <v>529</v>
      </c>
      <c r="T137" t="s">
        <v>528</v>
      </c>
      <c r="U137" t="s">
        <v>660</v>
      </c>
      <c r="V137">
        <v>12345</v>
      </c>
    </row>
    <row r="138" spans="16:22" x14ac:dyDescent="0.25">
      <c r="P138" s="26" t="s">
        <v>381</v>
      </c>
      <c r="Q138" s="25" t="s">
        <v>382</v>
      </c>
      <c r="R138" s="26">
        <v>10446</v>
      </c>
      <c r="S138" t="s">
        <v>529</v>
      </c>
      <c r="T138" t="s">
        <v>528</v>
      </c>
      <c r="U138" t="s">
        <v>660</v>
      </c>
      <c r="V138">
        <v>12345</v>
      </c>
    </row>
    <row r="139" spans="16:22" x14ac:dyDescent="0.25">
      <c r="P139" s="26" t="s">
        <v>383</v>
      </c>
      <c r="Q139" s="25" t="s">
        <v>384</v>
      </c>
      <c r="R139" s="28">
        <v>10448</v>
      </c>
      <c r="S139" t="s">
        <v>529</v>
      </c>
      <c r="T139" t="s">
        <v>528</v>
      </c>
      <c r="U139" t="s">
        <v>662</v>
      </c>
      <c r="V139">
        <v>12345</v>
      </c>
    </row>
    <row r="140" spans="16:22" x14ac:dyDescent="0.25">
      <c r="P140" s="26" t="s">
        <v>385</v>
      </c>
      <c r="Q140" s="25" t="s">
        <v>386</v>
      </c>
      <c r="R140" s="27">
        <v>10451</v>
      </c>
      <c r="S140" t="s">
        <v>529</v>
      </c>
      <c r="T140" t="s">
        <v>528</v>
      </c>
      <c r="U140" t="s">
        <v>661</v>
      </c>
      <c r="V140">
        <v>12345</v>
      </c>
    </row>
    <row r="141" spans="16:22" x14ac:dyDescent="0.25">
      <c r="P141" s="26" t="s">
        <v>387</v>
      </c>
      <c r="Q141" s="25" t="s">
        <v>388</v>
      </c>
      <c r="R141" s="26">
        <v>10502</v>
      </c>
      <c r="S141" t="s">
        <v>529</v>
      </c>
      <c r="T141" t="s">
        <v>528</v>
      </c>
      <c r="U141" t="s">
        <v>661</v>
      </c>
      <c r="V141">
        <v>12345</v>
      </c>
    </row>
  </sheetData>
  <sheetProtection algorithmName="SHA-512" hashValue="+E6VUK64yAeuzpIiSZMBpYw4cS2B3aYdJXMzrl9vLfdDbRZl46mFpMfuopPYJXhKA7Gim5p535Yh2kwhuNOBRA==" saltValue="++RFoB7pE2JLQOTLDPospg==" spinCount="100000" sheet="1" objects="1" scenarios="1"/>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K4"/>
  <sheetViews>
    <sheetView workbookViewId="0">
      <selection activeCell="H74" sqref="H74"/>
    </sheetView>
  </sheetViews>
  <sheetFormatPr defaultRowHeight="15" x14ac:dyDescent="0.25"/>
  <cols>
    <col min="1" max="1" width="12.42578125" bestFit="1" customWidth="1"/>
    <col min="2" max="2" width="28" bestFit="1" customWidth="1"/>
    <col min="3" max="3" width="11.5703125" bestFit="1" customWidth="1"/>
    <col min="4" max="4" width="8.28515625" bestFit="1" customWidth="1"/>
    <col min="5" max="5" width="9" bestFit="1" customWidth="1"/>
    <col min="6" max="6" width="10" bestFit="1" customWidth="1"/>
    <col min="7" max="7" width="8.28515625" bestFit="1" customWidth="1"/>
    <col min="8" max="8" width="11.5703125" bestFit="1" customWidth="1"/>
    <col min="9" max="9" width="11.5703125" style="119" customWidth="1"/>
  </cols>
  <sheetData>
    <row r="1" spans="1:11" ht="64.5" x14ac:dyDescent="0.25">
      <c r="A1" s="112" t="s">
        <v>454</v>
      </c>
      <c r="B1" s="112" t="s">
        <v>455</v>
      </c>
      <c r="C1" s="114" t="s">
        <v>623</v>
      </c>
      <c r="D1" s="116" t="s">
        <v>625</v>
      </c>
      <c r="E1" s="116" t="s">
        <v>639</v>
      </c>
      <c r="F1" s="114" t="s">
        <v>640</v>
      </c>
      <c r="G1" s="116" t="s">
        <v>641</v>
      </c>
      <c r="H1" s="114" t="s">
        <v>646</v>
      </c>
      <c r="I1" s="114" t="s">
        <v>656</v>
      </c>
      <c r="J1" s="123" t="s">
        <v>536</v>
      </c>
    </row>
    <row r="2" spans="1:11" x14ac:dyDescent="0.25">
      <c r="A2" s="120" t="s">
        <v>15</v>
      </c>
      <c r="B2" s="120" t="s">
        <v>20</v>
      </c>
      <c r="C2" s="117">
        <f>'RC1'!R60+'RC2'!R60+'RC3'!R60+'RC4'!R60+'RC5'!R60+'RC6'!R60</f>
        <v>0</v>
      </c>
      <c r="D2" s="118">
        <f>SUM(Summary!P26:U31)</f>
        <v>0</v>
      </c>
      <c r="E2" s="122" t="e">
        <f>(G2*Lists!$AA$26)/C2</f>
        <v>#DIV/0!</v>
      </c>
      <c r="F2" s="117">
        <f>SUM(Summary!AH26:AM31)</f>
        <v>0</v>
      </c>
      <c r="G2" s="118">
        <f>SUM(Summary!V26:AA31)</f>
        <v>0</v>
      </c>
      <c r="H2" s="117">
        <f>C2</f>
        <v>0</v>
      </c>
      <c r="I2" s="117">
        <f>G2*VLOOKUP($A2,Lists!$AA$7:$AB$9,2,FALSE)</f>
        <v>0</v>
      </c>
      <c r="J2" s="123">
        <f>IF(C2&gt;0,1,0)</f>
        <v>0</v>
      </c>
    </row>
    <row r="3" spans="1:11" x14ac:dyDescent="0.25">
      <c r="A3" s="120" t="s">
        <v>43</v>
      </c>
      <c r="B3" s="120" t="s">
        <v>46</v>
      </c>
      <c r="C3" s="117">
        <f>SUMIF(Lists!$AA$13:$AA$18,$A3,Lists!$AB$13:$AB$18)</f>
        <v>0</v>
      </c>
      <c r="D3" s="118">
        <f>SUMIF(Lists!$AA$13:$AA$18,$A3,Lists!$AG$13:$AG$18)</f>
        <v>0</v>
      </c>
      <c r="E3" s="122" t="e">
        <f>(G3*Lists!$AA$26)/C3</f>
        <v>#DIV/0!</v>
      </c>
      <c r="F3" s="117">
        <f>SUMIF(Lists!$AA$13:$AA$18,$A3,Lists!$AD$13:$AD$18)</f>
        <v>0</v>
      </c>
      <c r="G3" s="118">
        <f>SUMIF(Lists!$AA$13:$AA$18,$A3,Lists!$AC$13:$AC$18)</f>
        <v>0</v>
      </c>
      <c r="H3" s="117">
        <f t="shared" ref="H3:H4" si="0">C3</f>
        <v>0</v>
      </c>
      <c r="I3" s="117">
        <f>G3*VLOOKUP($A3,Lists!$AA$7:$AB$9,2,FALSE)</f>
        <v>0</v>
      </c>
      <c r="J3" s="123">
        <f t="shared" ref="J3:J4" si="1">IF(C3&gt;0,1,0)</f>
        <v>0</v>
      </c>
      <c r="K3" s="119"/>
    </row>
    <row r="4" spans="1:11" x14ac:dyDescent="0.25">
      <c r="A4" s="120" t="s">
        <v>47</v>
      </c>
      <c r="B4" s="120" t="s">
        <v>46</v>
      </c>
      <c r="C4" s="117">
        <f>SUMIF(Lists!$AA$13:$AA$18,$A4,Lists!$AB$13:$AB$18)</f>
        <v>0</v>
      </c>
      <c r="D4" s="118">
        <f>SUMIF(Lists!$AA$13:$AA$18,$A4,Lists!$AG$13:$AG$18)</f>
        <v>0</v>
      </c>
      <c r="E4" s="122" t="e">
        <f>(G4*Lists!$AA$26)/C4</f>
        <v>#DIV/0!</v>
      </c>
      <c r="F4" s="117">
        <f>SUMIF(Lists!$AA$13:$AA$18,$A4,Lists!$AD$13:$AD$18)</f>
        <v>0</v>
      </c>
      <c r="G4" s="118">
        <f>SUMIF(Lists!$AA$13:$AA$18,$A4,Lists!$AC$13:$AC$18)</f>
        <v>0</v>
      </c>
      <c r="H4" s="117">
        <f t="shared" si="0"/>
        <v>0</v>
      </c>
      <c r="I4" s="117">
        <f>G4*VLOOKUP($A4,Lists!$AA$7:$AB$9,2,FALSE)</f>
        <v>0</v>
      </c>
      <c r="J4" s="123">
        <f t="shared" si="1"/>
        <v>0</v>
      </c>
      <c r="K4" s="119"/>
    </row>
  </sheetData>
  <sheetProtection password="BD7D" sheet="1" objects="1" scenarios="1"/>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sheetPr>
  <dimension ref="A1:CB2"/>
  <sheetViews>
    <sheetView zoomScaleNormal="100" workbookViewId="0">
      <selection activeCell="A2" sqref="A2"/>
    </sheetView>
  </sheetViews>
  <sheetFormatPr defaultRowHeight="15" x14ac:dyDescent="0.25"/>
  <cols>
    <col min="1" max="1" width="16.42578125" customWidth="1"/>
    <col min="7" max="7" width="10.7109375" customWidth="1"/>
    <col min="10" max="10" width="12.7109375" customWidth="1"/>
    <col min="11" max="11" width="14" customWidth="1"/>
    <col min="13" max="13" width="10.140625" customWidth="1"/>
    <col min="14" max="14" width="12.42578125" customWidth="1"/>
    <col min="15" max="15" width="11.85546875" customWidth="1"/>
    <col min="20" max="20" width="15.140625" customWidth="1"/>
    <col min="21" max="21" width="10.140625" customWidth="1"/>
    <col min="22" max="22" width="10.42578125" customWidth="1"/>
    <col min="23" max="23" width="13.28515625" customWidth="1"/>
    <col min="24" max="24" width="12.85546875" bestFit="1" customWidth="1"/>
    <col min="25" max="25" width="13.85546875" customWidth="1"/>
    <col min="26" max="26" width="12.140625" customWidth="1"/>
    <col min="33" max="33" width="13.85546875" customWidth="1"/>
    <col min="38" max="38" width="13.5703125" customWidth="1"/>
    <col min="39" max="39" width="12.42578125" bestFit="1" customWidth="1"/>
    <col min="40" max="40" width="16.42578125" customWidth="1"/>
    <col min="41" max="41" width="11.5703125" customWidth="1"/>
    <col min="42" max="42" width="11.140625" customWidth="1"/>
    <col min="43" max="43" width="12.140625" customWidth="1"/>
    <col min="44" max="44" width="11.85546875" customWidth="1"/>
    <col min="45" max="45" width="15.42578125" customWidth="1"/>
    <col min="46" max="46" width="15.140625" customWidth="1"/>
    <col min="47" max="50" width="15.42578125" customWidth="1"/>
    <col min="52" max="52" width="11.42578125" customWidth="1"/>
    <col min="53" max="53" width="11.140625" customWidth="1"/>
    <col min="54" max="54" width="9.85546875" customWidth="1"/>
    <col min="55" max="57" width="9.5703125" bestFit="1" customWidth="1"/>
    <col min="59" max="59" width="9.5703125" bestFit="1" customWidth="1"/>
    <col min="60" max="60" width="10.42578125" customWidth="1"/>
    <col min="61" max="62" width="11.5703125" bestFit="1" customWidth="1"/>
    <col min="67" max="67" width="15" customWidth="1"/>
    <col min="73" max="74" width="11.140625" customWidth="1"/>
    <col min="75" max="75" width="12" customWidth="1"/>
    <col min="76" max="76" width="11.140625" customWidth="1"/>
    <col min="77" max="77" width="15.42578125" customWidth="1"/>
    <col min="79" max="79" width="10.7109375" customWidth="1"/>
    <col min="257" max="257" width="16.42578125" customWidth="1"/>
    <col min="263" max="263" width="10.7109375" customWidth="1"/>
    <col min="266" max="266" width="12.7109375" customWidth="1"/>
    <col min="267" max="267" width="14" customWidth="1"/>
    <col min="269" max="269" width="10.140625" customWidth="1"/>
    <col min="270" max="270" width="12.42578125" customWidth="1"/>
    <col min="271" max="271" width="11.85546875" customWidth="1"/>
    <col min="276" max="276" width="15.140625" customWidth="1"/>
    <col min="277" max="277" width="10.140625" customWidth="1"/>
    <col min="278" max="278" width="10.42578125" customWidth="1"/>
    <col min="279" max="279" width="13.28515625" customWidth="1"/>
    <col min="280" max="280" width="12.85546875" bestFit="1" customWidth="1"/>
    <col min="281" max="281" width="13.85546875" customWidth="1"/>
    <col min="282" max="282" width="12.140625" customWidth="1"/>
    <col min="289" max="289" width="13.85546875" customWidth="1"/>
    <col min="294" max="294" width="13.5703125" customWidth="1"/>
    <col min="295" max="295" width="12.42578125" bestFit="1" customWidth="1"/>
    <col min="296" max="296" width="16.42578125" customWidth="1"/>
    <col min="297" max="297" width="11.5703125" customWidth="1"/>
    <col min="298" max="298" width="11.140625" customWidth="1"/>
    <col min="299" max="299" width="12.140625" customWidth="1"/>
    <col min="300" max="300" width="11.85546875" customWidth="1"/>
    <col min="301" max="301" width="15.42578125" customWidth="1"/>
    <col min="302" max="302" width="15.140625" customWidth="1"/>
    <col min="303" max="306" width="15.42578125" customWidth="1"/>
    <col min="308" max="308" width="11.42578125" customWidth="1"/>
    <col min="309" max="309" width="11.140625" customWidth="1"/>
    <col min="310" max="310" width="9.85546875" customWidth="1"/>
    <col min="316" max="316" width="10.42578125" customWidth="1"/>
    <col min="323" max="323" width="15" customWidth="1"/>
    <col min="329" max="330" width="11.140625" customWidth="1"/>
    <col min="331" max="331" width="12" customWidth="1"/>
    <col min="332" max="332" width="11.140625" customWidth="1"/>
    <col min="333" max="333" width="15.42578125" customWidth="1"/>
    <col min="335" max="335" width="10.7109375" customWidth="1"/>
    <col min="513" max="513" width="16.42578125" customWidth="1"/>
    <col min="519" max="519" width="10.7109375" customWidth="1"/>
    <col min="522" max="522" width="12.7109375" customWidth="1"/>
    <col min="523" max="523" width="14" customWidth="1"/>
    <col min="525" max="525" width="10.140625" customWidth="1"/>
    <col min="526" max="526" width="12.42578125" customWidth="1"/>
    <col min="527" max="527" width="11.85546875" customWidth="1"/>
    <col min="532" max="532" width="15.140625" customWidth="1"/>
    <col min="533" max="533" width="10.140625" customWidth="1"/>
    <col min="534" max="534" width="10.42578125" customWidth="1"/>
    <col min="535" max="535" width="13.28515625" customWidth="1"/>
    <col min="536" max="536" width="12.85546875" bestFit="1" customWidth="1"/>
    <col min="537" max="537" width="13.85546875" customWidth="1"/>
    <col min="538" max="538" width="12.140625" customWidth="1"/>
    <col min="545" max="545" width="13.85546875" customWidth="1"/>
    <col min="550" max="550" width="13.5703125" customWidth="1"/>
    <col min="551" max="551" width="12.42578125" bestFit="1" customWidth="1"/>
    <col min="552" max="552" width="16.42578125" customWidth="1"/>
    <col min="553" max="553" width="11.5703125" customWidth="1"/>
    <col min="554" max="554" width="11.140625" customWidth="1"/>
    <col min="555" max="555" width="12.140625" customWidth="1"/>
    <col min="556" max="556" width="11.85546875" customWidth="1"/>
    <col min="557" max="557" width="15.42578125" customWidth="1"/>
    <col min="558" max="558" width="15.140625" customWidth="1"/>
    <col min="559" max="562" width="15.42578125" customWidth="1"/>
    <col min="564" max="564" width="11.42578125" customWidth="1"/>
    <col min="565" max="565" width="11.140625" customWidth="1"/>
    <col min="566" max="566" width="9.85546875" customWidth="1"/>
    <col min="572" max="572" width="10.42578125" customWidth="1"/>
    <col min="579" max="579" width="15" customWidth="1"/>
    <col min="585" max="586" width="11.140625" customWidth="1"/>
    <col min="587" max="587" width="12" customWidth="1"/>
    <col min="588" max="588" width="11.140625" customWidth="1"/>
    <col min="589" max="589" width="15.42578125" customWidth="1"/>
    <col min="591" max="591" width="10.7109375" customWidth="1"/>
    <col min="769" max="769" width="16.42578125" customWidth="1"/>
    <col min="775" max="775" width="10.7109375" customWidth="1"/>
    <col min="778" max="778" width="12.7109375" customWidth="1"/>
    <col min="779" max="779" width="14" customWidth="1"/>
    <col min="781" max="781" width="10.140625" customWidth="1"/>
    <col min="782" max="782" width="12.42578125" customWidth="1"/>
    <col min="783" max="783" width="11.85546875" customWidth="1"/>
    <col min="788" max="788" width="15.140625" customWidth="1"/>
    <col min="789" max="789" width="10.140625" customWidth="1"/>
    <col min="790" max="790" width="10.42578125" customWidth="1"/>
    <col min="791" max="791" width="13.28515625" customWidth="1"/>
    <col min="792" max="792" width="12.85546875" bestFit="1" customWidth="1"/>
    <col min="793" max="793" width="13.85546875" customWidth="1"/>
    <col min="794" max="794" width="12.140625" customWidth="1"/>
    <col min="801" max="801" width="13.85546875" customWidth="1"/>
    <col min="806" max="806" width="13.5703125" customWidth="1"/>
    <col min="807" max="807" width="12.42578125" bestFit="1" customWidth="1"/>
    <col min="808" max="808" width="16.42578125" customWidth="1"/>
    <col min="809" max="809" width="11.5703125" customWidth="1"/>
    <col min="810" max="810" width="11.140625" customWidth="1"/>
    <col min="811" max="811" width="12.140625" customWidth="1"/>
    <col min="812" max="812" width="11.85546875" customWidth="1"/>
    <col min="813" max="813" width="15.42578125" customWidth="1"/>
    <col min="814" max="814" width="15.140625" customWidth="1"/>
    <col min="815" max="818" width="15.42578125" customWidth="1"/>
    <col min="820" max="820" width="11.42578125" customWidth="1"/>
    <col min="821" max="821" width="11.140625" customWidth="1"/>
    <col min="822" max="822" width="9.85546875" customWidth="1"/>
    <col min="828" max="828" width="10.42578125" customWidth="1"/>
    <col min="835" max="835" width="15" customWidth="1"/>
    <col min="841" max="842" width="11.140625" customWidth="1"/>
    <col min="843" max="843" width="12" customWidth="1"/>
    <col min="844" max="844" width="11.140625" customWidth="1"/>
    <col min="845" max="845" width="15.42578125" customWidth="1"/>
    <col min="847" max="847" width="10.7109375" customWidth="1"/>
    <col min="1025" max="1025" width="16.42578125" customWidth="1"/>
    <col min="1031" max="1031" width="10.7109375" customWidth="1"/>
    <col min="1034" max="1034" width="12.7109375" customWidth="1"/>
    <col min="1035" max="1035" width="14" customWidth="1"/>
    <col min="1037" max="1037" width="10.140625" customWidth="1"/>
    <col min="1038" max="1038" width="12.42578125" customWidth="1"/>
    <col min="1039" max="1039" width="11.85546875" customWidth="1"/>
    <col min="1044" max="1044" width="15.140625" customWidth="1"/>
    <col min="1045" max="1045" width="10.140625" customWidth="1"/>
    <col min="1046" max="1046" width="10.42578125" customWidth="1"/>
    <col min="1047" max="1047" width="13.28515625" customWidth="1"/>
    <col min="1048" max="1048" width="12.85546875" bestFit="1" customWidth="1"/>
    <col min="1049" max="1049" width="13.85546875" customWidth="1"/>
    <col min="1050" max="1050" width="12.140625" customWidth="1"/>
    <col min="1057" max="1057" width="13.85546875" customWidth="1"/>
    <col min="1062" max="1062" width="13.5703125" customWidth="1"/>
    <col min="1063" max="1063" width="12.42578125" bestFit="1" customWidth="1"/>
    <col min="1064" max="1064" width="16.42578125" customWidth="1"/>
    <col min="1065" max="1065" width="11.5703125" customWidth="1"/>
    <col min="1066" max="1066" width="11.140625" customWidth="1"/>
    <col min="1067" max="1067" width="12.140625" customWidth="1"/>
    <col min="1068" max="1068" width="11.85546875" customWidth="1"/>
    <col min="1069" max="1069" width="15.42578125" customWidth="1"/>
    <col min="1070" max="1070" width="15.140625" customWidth="1"/>
    <col min="1071" max="1074" width="15.42578125" customWidth="1"/>
    <col min="1076" max="1076" width="11.42578125" customWidth="1"/>
    <col min="1077" max="1077" width="11.140625" customWidth="1"/>
    <col min="1078" max="1078" width="9.85546875" customWidth="1"/>
    <col min="1084" max="1084" width="10.42578125" customWidth="1"/>
    <col min="1091" max="1091" width="15" customWidth="1"/>
    <col min="1097" max="1098" width="11.140625" customWidth="1"/>
    <col min="1099" max="1099" width="12" customWidth="1"/>
    <col min="1100" max="1100" width="11.140625" customWidth="1"/>
    <col min="1101" max="1101" width="15.42578125" customWidth="1"/>
    <col min="1103" max="1103" width="10.7109375" customWidth="1"/>
    <col min="1281" max="1281" width="16.42578125" customWidth="1"/>
    <col min="1287" max="1287" width="10.7109375" customWidth="1"/>
    <col min="1290" max="1290" width="12.7109375" customWidth="1"/>
    <col min="1291" max="1291" width="14" customWidth="1"/>
    <col min="1293" max="1293" width="10.140625" customWidth="1"/>
    <col min="1294" max="1294" width="12.42578125" customWidth="1"/>
    <col min="1295" max="1295" width="11.85546875" customWidth="1"/>
    <col min="1300" max="1300" width="15.140625" customWidth="1"/>
    <col min="1301" max="1301" width="10.140625" customWidth="1"/>
    <col min="1302" max="1302" width="10.42578125" customWidth="1"/>
    <col min="1303" max="1303" width="13.28515625" customWidth="1"/>
    <col min="1304" max="1304" width="12.85546875" bestFit="1" customWidth="1"/>
    <col min="1305" max="1305" width="13.85546875" customWidth="1"/>
    <col min="1306" max="1306" width="12.140625" customWidth="1"/>
    <col min="1313" max="1313" width="13.85546875" customWidth="1"/>
    <col min="1318" max="1318" width="13.5703125" customWidth="1"/>
    <col min="1319" max="1319" width="12.42578125" bestFit="1" customWidth="1"/>
    <col min="1320" max="1320" width="16.42578125" customWidth="1"/>
    <col min="1321" max="1321" width="11.5703125" customWidth="1"/>
    <col min="1322" max="1322" width="11.140625" customWidth="1"/>
    <col min="1323" max="1323" width="12.140625" customWidth="1"/>
    <col min="1324" max="1324" width="11.85546875" customWidth="1"/>
    <col min="1325" max="1325" width="15.42578125" customWidth="1"/>
    <col min="1326" max="1326" width="15.140625" customWidth="1"/>
    <col min="1327" max="1330" width="15.42578125" customWidth="1"/>
    <col min="1332" max="1332" width="11.42578125" customWidth="1"/>
    <col min="1333" max="1333" width="11.140625" customWidth="1"/>
    <col min="1334" max="1334" width="9.85546875" customWidth="1"/>
    <col min="1340" max="1340" width="10.42578125" customWidth="1"/>
    <col min="1347" max="1347" width="15" customWidth="1"/>
    <col min="1353" max="1354" width="11.140625" customWidth="1"/>
    <col min="1355" max="1355" width="12" customWidth="1"/>
    <col min="1356" max="1356" width="11.140625" customWidth="1"/>
    <col min="1357" max="1357" width="15.42578125" customWidth="1"/>
    <col min="1359" max="1359" width="10.7109375" customWidth="1"/>
    <col min="1537" max="1537" width="16.42578125" customWidth="1"/>
    <col min="1543" max="1543" width="10.7109375" customWidth="1"/>
    <col min="1546" max="1546" width="12.7109375" customWidth="1"/>
    <col min="1547" max="1547" width="14" customWidth="1"/>
    <col min="1549" max="1549" width="10.140625" customWidth="1"/>
    <col min="1550" max="1550" width="12.42578125" customWidth="1"/>
    <col min="1551" max="1551" width="11.85546875" customWidth="1"/>
    <col min="1556" max="1556" width="15.140625" customWidth="1"/>
    <col min="1557" max="1557" width="10.140625" customWidth="1"/>
    <col min="1558" max="1558" width="10.42578125" customWidth="1"/>
    <col min="1559" max="1559" width="13.28515625" customWidth="1"/>
    <col min="1560" max="1560" width="12.85546875" bestFit="1" customWidth="1"/>
    <col min="1561" max="1561" width="13.85546875" customWidth="1"/>
    <col min="1562" max="1562" width="12.140625" customWidth="1"/>
    <col min="1569" max="1569" width="13.85546875" customWidth="1"/>
    <col min="1574" max="1574" width="13.5703125" customWidth="1"/>
    <col min="1575" max="1575" width="12.42578125" bestFit="1" customWidth="1"/>
    <col min="1576" max="1576" width="16.42578125" customWidth="1"/>
    <col min="1577" max="1577" width="11.5703125" customWidth="1"/>
    <col min="1578" max="1578" width="11.140625" customWidth="1"/>
    <col min="1579" max="1579" width="12.140625" customWidth="1"/>
    <col min="1580" max="1580" width="11.85546875" customWidth="1"/>
    <col min="1581" max="1581" width="15.42578125" customWidth="1"/>
    <col min="1582" max="1582" width="15.140625" customWidth="1"/>
    <col min="1583" max="1586" width="15.42578125" customWidth="1"/>
    <col min="1588" max="1588" width="11.42578125" customWidth="1"/>
    <col min="1589" max="1589" width="11.140625" customWidth="1"/>
    <col min="1590" max="1590" width="9.85546875" customWidth="1"/>
    <col min="1596" max="1596" width="10.42578125" customWidth="1"/>
    <col min="1603" max="1603" width="15" customWidth="1"/>
    <col min="1609" max="1610" width="11.140625" customWidth="1"/>
    <col min="1611" max="1611" width="12" customWidth="1"/>
    <col min="1612" max="1612" width="11.140625" customWidth="1"/>
    <col min="1613" max="1613" width="15.42578125" customWidth="1"/>
    <col min="1615" max="1615" width="10.7109375" customWidth="1"/>
    <col min="1793" max="1793" width="16.42578125" customWidth="1"/>
    <col min="1799" max="1799" width="10.7109375" customWidth="1"/>
    <col min="1802" max="1802" width="12.7109375" customWidth="1"/>
    <col min="1803" max="1803" width="14" customWidth="1"/>
    <col min="1805" max="1805" width="10.140625" customWidth="1"/>
    <col min="1806" max="1806" width="12.42578125" customWidth="1"/>
    <col min="1807" max="1807" width="11.85546875" customWidth="1"/>
    <col min="1812" max="1812" width="15.140625" customWidth="1"/>
    <col min="1813" max="1813" width="10.140625" customWidth="1"/>
    <col min="1814" max="1814" width="10.42578125" customWidth="1"/>
    <col min="1815" max="1815" width="13.28515625" customWidth="1"/>
    <col min="1816" max="1816" width="12.85546875" bestFit="1" customWidth="1"/>
    <col min="1817" max="1817" width="13.85546875" customWidth="1"/>
    <col min="1818" max="1818" width="12.140625" customWidth="1"/>
    <col min="1825" max="1825" width="13.85546875" customWidth="1"/>
    <col min="1830" max="1830" width="13.5703125" customWidth="1"/>
    <col min="1831" max="1831" width="12.42578125" bestFit="1" customWidth="1"/>
    <col min="1832" max="1832" width="16.42578125" customWidth="1"/>
    <col min="1833" max="1833" width="11.5703125" customWidth="1"/>
    <col min="1834" max="1834" width="11.140625" customWidth="1"/>
    <col min="1835" max="1835" width="12.140625" customWidth="1"/>
    <col min="1836" max="1836" width="11.85546875" customWidth="1"/>
    <col min="1837" max="1837" width="15.42578125" customWidth="1"/>
    <col min="1838" max="1838" width="15.140625" customWidth="1"/>
    <col min="1839" max="1842" width="15.42578125" customWidth="1"/>
    <col min="1844" max="1844" width="11.42578125" customWidth="1"/>
    <col min="1845" max="1845" width="11.140625" customWidth="1"/>
    <col min="1846" max="1846" width="9.85546875" customWidth="1"/>
    <col min="1852" max="1852" width="10.42578125" customWidth="1"/>
    <col min="1859" max="1859" width="15" customWidth="1"/>
    <col min="1865" max="1866" width="11.140625" customWidth="1"/>
    <col min="1867" max="1867" width="12" customWidth="1"/>
    <col min="1868" max="1868" width="11.140625" customWidth="1"/>
    <col min="1869" max="1869" width="15.42578125" customWidth="1"/>
    <col min="1871" max="1871" width="10.7109375" customWidth="1"/>
    <col min="2049" max="2049" width="16.42578125" customWidth="1"/>
    <col min="2055" max="2055" width="10.7109375" customWidth="1"/>
    <col min="2058" max="2058" width="12.7109375" customWidth="1"/>
    <col min="2059" max="2059" width="14" customWidth="1"/>
    <col min="2061" max="2061" width="10.140625" customWidth="1"/>
    <col min="2062" max="2062" width="12.42578125" customWidth="1"/>
    <col min="2063" max="2063" width="11.85546875" customWidth="1"/>
    <col min="2068" max="2068" width="15.140625" customWidth="1"/>
    <col min="2069" max="2069" width="10.140625" customWidth="1"/>
    <col min="2070" max="2070" width="10.42578125" customWidth="1"/>
    <col min="2071" max="2071" width="13.28515625" customWidth="1"/>
    <col min="2072" max="2072" width="12.85546875" bestFit="1" customWidth="1"/>
    <col min="2073" max="2073" width="13.85546875" customWidth="1"/>
    <col min="2074" max="2074" width="12.140625" customWidth="1"/>
    <col min="2081" max="2081" width="13.85546875" customWidth="1"/>
    <col min="2086" max="2086" width="13.5703125" customWidth="1"/>
    <col min="2087" max="2087" width="12.42578125" bestFit="1" customWidth="1"/>
    <col min="2088" max="2088" width="16.42578125" customWidth="1"/>
    <col min="2089" max="2089" width="11.5703125" customWidth="1"/>
    <col min="2090" max="2090" width="11.140625" customWidth="1"/>
    <col min="2091" max="2091" width="12.140625" customWidth="1"/>
    <col min="2092" max="2092" width="11.85546875" customWidth="1"/>
    <col min="2093" max="2093" width="15.42578125" customWidth="1"/>
    <col min="2094" max="2094" width="15.140625" customWidth="1"/>
    <col min="2095" max="2098" width="15.42578125" customWidth="1"/>
    <col min="2100" max="2100" width="11.42578125" customWidth="1"/>
    <col min="2101" max="2101" width="11.140625" customWidth="1"/>
    <col min="2102" max="2102" width="9.85546875" customWidth="1"/>
    <col min="2108" max="2108" width="10.42578125" customWidth="1"/>
    <col min="2115" max="2115" width="15" customWidth="1"/>
    <col min="2121" max="2122" width="11.140625" customWidth="1"/>
    <col min="2123" max="2123" width="12" customWidth="1"/>
    <col min="2124" max="2124" width="11.140625" customWidth="1"/>
    <col min="2125" max="2125" width="15.42578125" customWidth="1"/>
    <col min="2127" max="2127" width="10.7109375" customWidth="1"/>
    <col min="2305" max="2305" width="16.42578125" customWidth="1"/>
    <col min="2311" max="2311" width="10.7109375" customWidth="1"/>
    <col min="2314" max="2314" width="12.7109375" customWidth="1"/>
    <col min="2315" max="2315" width="14" customWidth="1"/>
    <col min="2317" max="2317" width="10.140625" customWidth="1"/>
    <col min="2318" max="2318" width="12.42578125" customWidth="1"/>
    <col min="2319" max="2319" width="11.85546875" customWidth="1"/>
    <col min="2324" max="2324" width="15.140625" customWidth="1"/>
    <col min="2325" max="2325" width="10.140625" customWidth="1"/>
    <col min="2326" max="2326" width="10.42578125" customWidth="1"/>
    <col min="2327" max="2327" width="13.28515625" customWidth="1"/>
    <col min="2328" max="2328" width="12.85546875" bestFit="1" customWidth="1"/>
    <col min="2329" max="2329" width="13.85546875" customWidth="1"/>
    <col min="2330" max="2330" width="12.140625" customWidth="1"/>
    <col min="2337" max="2337" width="13.85546875" customWidth="1"/>
    <col min="2342" max="2342" width="13.5703125" customWidth="1"/>
    <col min="2343" max="2343" width="12.42578125" bestFit="1" customWidth="1"/>
    <col min="2344" max="2344" width="16.42578125" customWidth="1"/>
    <col min="2345" max="2345" width="11.5703125" customWidth="1"/>
    <col min="2346" max="2346" width="11.140625" customWidth="1"/>
    <col min="2347" max="2347" width="12.140625" customWidth="1"/>
    <col min="2348" max="2348" width="11.85546875" customWidth="1"/>
    <col min="2349" max="2349" width="15.42578125" customWidth="1"/>
    <col min="2350" max="2350" width="15.140625" customWidth="1"/>
    <col min="2351" max="2354" width="15.42578125" customWidth="1"/>
    <col min="2356" max="2356" width="11.42578125" customWidth="1"/>
    <col min="2357" max="2357" width="11.140625" customWidth="1"/>
    <col min="2358" max="2358" width="9.85546875" customWidth="1"/>
    <col min="2364" max="2364" width="10.42578125" customWidth="1"/>
    <col min="2371" max="2371" width="15" customWidth="1"/>
    <col min="2377" max="2378" width="11.140625" customWidth="1"/>
    <col min="2379" max="2379" width="12" customWidth="1"/>
    <col min="2380" max="2380" width="11.140625" customWidth="1"/>
    <col min="2381" max="2381" width="15.42578125" customWidth="1"/>
    <col min="2383" max="2383" width="10.7109375" customWidth="1"/>
    <col min="2561" max="2561" width="16.42578125" customWidth="1"/>
    <col min="2567" max="2567" width="10.7109375" customWidth="1"/>
    <col min="2570" max="2570" width="12.7109375" customWidth="1"/>
    <col min="2571" max="2571" width="14" customWidth="1"/>
    <col min="2573" max="2573" width="10.140625" customWidth="1"/>
    <col min="2574" max="2574" width="12.42578125" customWidth="1"/>
    <col min="2575" max="2575" width="11.85546875" customWidth="1"/>
    <col min="2580" max="2580" width="15.140625" customWidth="1"/>
    <col min="2581" max="2581" width="10.140625" customWidth="1"/>
    <col min="2582" max="2582" width="10.42578125" customWidth="1"/>
    <col min="2583" max="2583" width="13.28515625" customWidth="1"/>
    <col min="2584" max="2584" width="12.85546875" bestFit="1" customWidth="1"/>
    <col min="2585" max="2585" width="13.85546875" customWidth="1"/>
    <col min="2586" max="2586" width="12.140625" customWidth="1"/>
    <col min="2593" max="2593" width="13.85546875" customWidth="1"/>
    <col min="2598" max="2598" width="13.5703125" customWidth="1"/>
    <col min="2599" max="2599" width="12.42578125" bestFit="1" customWidth="1"/>
    <col min="2600" max="2600" width="16.42578125" customWidth="1"/>
    <col min="2601" max="2601" width="11.5703125" customWidth="1"/>
    <col min="2602" max="2602" width="11.140625" customWidth="1"/>
    <col min="2603" max="2603" width="12.140625" customWidth="1"/>
    <col min="2604" max="2604" width="11.85546875" customWidth="1"/>
    <col min="2605" max="2605" width="15.42578125" customWidth="1"/>
    <col min="2606" max="2606" width="15.140625" customWidth="1"/>
    <col min="2607" max="2610" width="15.42578125" customWidth="1"/>
    <col min="2612" max="2612" width="11.42578125" customWidth="1"/>
    <col min="2613" max="2613" width="11.140625" customWidth="1"/>
    <col min="2614" max="2614" width="9.85546875" customWidth="1"/>
    <col min="2620" max="2620" width="10.42578125" customWidth="1"/>
    <col min="2627" max="2627" width="15" customWidth="1"/>
    <col min="2633" max="2634" width="11.140625" customWidth="1"/>
    <col min="2635" max="2635" width="12" customWidth="1"/>
    <col min="2636" max="2636" width="11.140625" customWidth="1"/>
    <col min="2637" max="2637" width="15.42578125" customWidth="1"/>
    <col min="2639" max="2639" width="10.7109375" customWidth="1"/>
    <col min="2817" max="2817" width="16.42578125" customWidth="1"/>
    <col min="2823" max="2823" width="10.7109375" customWidth="1"/>
    <col min="2826" max="2826" width="12.7109375" customWidth="1"/>
    <col min="2827" max="2827" width="14" customWidth="1"/>
    <col min="2829" max="2829" width="10.140625" customWidth="1"/>
    <col min="2830" max="2830" width="12.42578125" customWidth="1"/>
    <col min="2831" max="2831" width="11.85546875" customWidth="1"/>
    <col min="2836" max="2836" width="15.140625" customWidth="1"/>
    <col min="2837" max="2837" width="10.140625" customWidth="1"/>
    <col min="2838" max="2838" width="10.42578125" customWidth="1"/>
    <col min="2839" max="2839" width="13.28515625" customWidth="1"/>
    <col min="2840" max="2840" width="12.85546875" bestFit="1" customWidth="1"/>
    <col min="2841" max="2841" width="13.85546875" customWidth="1"/>
    <col min="2842" max="2842" width="12.140625" customWidth="1"/>
    <col min="2849" max="2849" width="13.85546875" customWidth="1"/>
    <col min="2854" max="2854" width="13.5703125" customWidth="1"/>
    <col min="2855" max="2855" width="12.42578125" bestFit="1" customWidth="1"/>
    <col min="2856" max="2856" width="16.42578125" customWidth="1"/>
    <col min="2857" max="2857" width="11.5703125" customWidth="1"/>
    <col min="2858" max="2858" width="11.140625" customWidth="1"/>
    <col min="2859" max="2859" width="12.140625" customWidth="1"/>
    <col min="2860" max="2860" width="11.85546875" customWidth="1"/>
    <col min="2861" max="2861" width="15.42578125" customWidth="1"/>
    <col min="2862" max="2862" width="15.140625" customWidth="1"/>
    <col min="2863" max="2866" width="15.42578125" customWidth="1"/>
    <col min="2868" max="2868" width="11.42578125" customWidth="1"/>
    <col min="2869" max="2869" width="11.140625" customWidth="1"/>
    <col min="2870" max="2870" width="9.85546875" customWidth="1"/>
    <col min="2876" max="2876" width="10.42578125" customWidth="1"/>
    <col min="2883" max="2883" width="15" customWidth="1"/>
    <col min="2889" max="2890" width="11.140625" customWidth="1"/>
    <col min="2891" max="2891" width="12" customWidth="1"/>
    <col min="2892" max="2892" width="11.140625" customWidth="1"/>
    <col min="2893" max="2893" width="15.42578125" customWidth="1"/>
    <col min="2895" max="2895" width="10.7109375" customWidth="1"/>
    <col min="3073" max="3073" width="16.42578125" customWidth="1"/>
    <col min="3079" max="3079" width="10.7109375" customWidth="1"/>
    <col min="3082" max="3082" width="12.7109375" customWidth="1"/>
    <col min="3083" max="3083" width="14" customWidth="1"/>
    <col min="3085" max="3085" width="10.140625" customWidth="1"/>
    <col min="3086" max="3086" width="12.42578125" customWidth="1"/>
    <col min="3087" max="3087" width="11.85546875" customWidth="1"/>
    <col min="3092" max="3092" width="15.140625" customWidth="1"/>
    <col min="3093" max="3093" width="10.140625" customWidth="1"/>
    <col min="3094" max="3094" width="10.42578125" customWidth="1"/>
    <col min="3095" max="3095" width="13.28515625" customWidth="1"/>
    <col min="3096" max="3096" width="12.85546875" bestFit="1" customWidth="1"/>
    <col min="3097" max="3097" width="13.85546875" customWidth="1"/>
    <col min="3098" max="3098" width="12.140625" customWidth="1"/>
    <col min="3105" max="3105" width="13.85546875" customWidth="1"/>
    <col min="3110" max="3110" width="13.5703125" customWidth="1"/>
    <col min="3111" max="3111" width="12.42578125" bestFit="1" customWidth="1"/>
    <col min="3112" max="3112" width="16.42578125" customWidth="1"/>
    <col min="3113" max="3113" width="11.5703125" customWidth="1"/>
    <col min="3114" max="3114" width="11.140625" customWidth="1"/>
    <col min="3115" max="3115" width="12.140625" customWidth="1"/>
    <col min="3116" max="3116" width="11.85546875" customWidth="1"/>
    <col min="3117" max="3117" width="15.42578125" customWidth="1"/>
    <col min="3118" max="3118" width="15.140625" customWidth="1"/>
    <col min="3119" max="3122" width="15.42578125" customWidth="1"/>
    <col min="3124" max="3124" width="11.42578125" customWidth="1"/>
    <col min="3125" max="3125" width="11.140625" customWidth="1"/>
    <col min="3126" max="3126" width="9.85546875" customWidth="1"/>
    <col min="3132" max="3132" width="10.42578125" customWidth="1"/>
    <col min="3139" max="3139" width="15" customWidth="1"/>
    <col min="3145" max="3146" width="11.140625" customWidth="1"/>
    <col min="3147" max="3147" width="12" customWidth="1"/>
    <col min="3148" max="3148" width="11.140625" customWidth="1"/>
    <col min="3149" max="3149" width="15.42578125" customWidth="1"/>
    <col min="3151" max="3151" width="10.7109375" customWidth="1"/>
    <col min="3329" max="3329" width="16.42578125" customWidth="1"/>
    <col min="3335" max="3335" width="10.7109375" customWidth="1"/>
    <col min="3338" max="3338" width="12.7109375" customWidth="1"/>
    <col min="3339" max="3339" width="14" customWidth="1"/>
    <col min="3341" max="3341" width="10.140625" customWidth="1"/>
    <col min="3342" max="3342" width="12.42578125" customWidth="1"/>
    <col min="3343" max="3343" width="11.85546875" customWidth="1"/>
    <col min="3348" max="3348" width="15.140625" customWidth="1"/>
    <col min="3349" max="3349" width="10.140625" customWidth="1"/>
    <col min="3350" max="3350" width="10.42578125" customWidth="1"/>
    <col min="3351" max="3351" width="13.28515625" customWidth="1"/>
    <col min="3352" max="3352" width="12.85546875" bestFit="1" customWidth="1"/>
    <col min="3353" max="3353" width="13.85546875" customWidth="1"/>
    <col min="3354" max="3354" width="12.140625" customWidth="1"/>
    <col min="3361" max="3361" width="13.85546875" customWidth="1"/>
    <col min="3366" max="3366" width="13.5703125" customWidth="1"/>
    <col min="3367" max="3367" width="12.42578125" bestFit="1" customWidth="1"/>
    <col min="3368" max="3368" width="16.42578125" customWidth="1"/>
    <col min="3369" max="3369" width="11.5703125" customWidth="1"/>
    <col min="3370" max="3370" width="11.140625" customWidth="1"/>
    <col min="3371" max="3371" width="12.140625" customWidth="1"/>
    <col min="3372" max="3372" width="11.85546875" customWidth="1"/>
    <col min="3373" max="3373" width="15.42578125" customWidth="1"/>
    <col min="3374" max="3374" width="15.140625" customWidth="1"/>
    <col min="3375" max="3378" width="15.42578125" customWidth="1"/>
    <col min="3380" max="3380" width="11.42578125" customWidth="1"/>
    <col min="3381" max="3381" width="11.140625" customWidth="1"/>
    <col min="3382" max="3382" width="9.85546875" customWidth="1"/>
    <col min="3388" max="3388" width="10.42578125" customWidth="1"/>
    <col min="3395" max="3395" width="15" customWidth="1"/>
    <col min="3401" max="3402" width="11.140625" customWidth="1"/>
    <col min="3403" max="3403" width="12" customWidth="1"/>
    <col min="3404" max="3404" width="11.140625" customWidth="1"/>
    <col min="3405" max="3405" width="15.42578125" customWidth="1"/>
    <col min="3407" max="3407" width="10.7109375" customWidth="1"/>
    <col min="3585" max="3585" width="16.42578125" customWidth="1"/>
    <col min="3591" max="3591" width="10.7109375" customWidth="1"/>
    <col min="3594" max="3594" width="12.7109375" customWidth="1"/>
    <col min="3595" max="3595" width="14" customWidth="1"/>
    <col min="3597" max="3597" width="10.140625" customWidth="1"/>
    <col min="3598" max="3598" width="12.42578125" customWidth="1"/>
    <col min="3599" max="3599" width="11.85546875" customWidth="1"/>
    <col min="3604" max="3604" width="15.140625" customWidth="1"/>
    <col min="3605" max="3605" width="10.140625" customWidth="1"/>
    <col min="3606" max="3606" width="10.42578125" customWidth="1"/>
    <col min="3607" max="3607" width="13.28515625" customWidth="1"/>
    <col min="3608" max="3608" width="12.85546875" bestFit="1" customWidth="1"/>
    <col min="3609" max="3609" width="13.85546875" customWidth="1"/>
    <col min="3610" max="3610" width="12.140625" customWidth="1"/>
    <col min="3617" max="3617" width="13.85546875" customWidth="1"/>
    <col min="3622" max="3622" width="13.5703125" customWidth="1"/>
    <col min="3623" max="3623" width="12.42578125" bestFit="1" customWidth="1"/>
    <col min="3624" max="3624" width="16.42578125" customWidth="1"/>
    <col min="3625" max="3625" width="11.5703125" customWidth="1"/>
    <col min="3626" max="3626" width="11.140625" customWidth="1"/>
    <col min="3627" max="3627" width="12.140625" customWidth="1"/>
    <col min="3628" max="3628" width="11.85546875" customWidth="1"/>
    <col min="3629" max="3629" width="15.42578125" customWidth="1"/>
    <col min="3630" max="3630" width="15.140625" customWidth="1"/>
    <col min="3631" max="3634" width="15.42578125" customWidth="1"/>
    <col min="3636" max="3636" width="11.42578125" customWidth="1"/>
    <col min="3637" max="3637" width="11.140625" customWidth="1"/>
    <col min="3638" max="3638" width="9.85546875" customWidth="1"/>
    <col min="3644" max="3644" width="10.42578125" customWidth="1"/>
    <col min="3651" max="3651" width="15" customWidth="1"/>
    <col min="3657" max="3658" width="11.140625" customWidth="1"/>
    <col min="3659" max="3659" width="12" customWidth="1"/>
    <col min="3660" max="3660" width="11.140625" customWidth="1"/>
    <col min="3661" max="3661" width="15.42578125" customWidth="1"/>
    <col min="3663" max="3663" width="10.7109375" customWidth="1"/>
    <col min="3841" max="3841" width="16.42578125" customWidth="1"/>
    <col min="3847" max="3847" width="10.7109375" customWidth="1"/>
    <col min="3850" max="3850" width="12.7109375" customWidth="1"/>
    <col min="3851" max="3851" width="14" customWidth="1"/>
    <col min="3853" max="3853" width="10.140625" customWidth="1"/>
    <col min="3854" max="3854" width="12.42578125" customWidth="1"/>
    <col min="3855" max="3855" width="11.85546875" customWidth="1"/>
    <col min="3860" max="3860" width="15.140625" customWidth="1"/>
    <col min="3861" max="3861" width="10.140625" customWidth="1"/>
    <col min="3862" max="3862" width="10.42578125" customWidth="1"/>
    <col min="3863" max="3863" width="13.28515625" customWidth="1"/>
    <col min="3864" max="3864" width="12.85546875" bestFit="1" customWidth="1"/>
    <col min="3865" max="3865" width="13.85546875" customWidth="1"/>
    <col min="3866" max="3866" width="12.140625" customWidth="1"/>
    <col min="3873" max="3873" width="13.85546875" customWidth="1"/>
    <col min="3878" max="3878" width="13.5703125" customWidth="1"/>
    <col min="3879" max="3879" width="12.42578125" bestFit="1" customWidth="1"/>
    <col min="3880" max="3880" width="16.42578125" customWidth="1"/>
    <col min="3881" max="3881" width="11.5703125" customWidth="1"/>
    <col min="3882" max="3882" width="11.140625" customWidth="1"/>
    <col min="3883" max="3883" width="12.140625" customWidth="1"/>
    <col min="3884" max="3884" width="11.85546875" customWidth="1"/>
    <col min="3885" max="3885" width="15.42578125" customWidth="1"/>
    <col min="3886" max="3886" width="15.140625" customWidth="1"/>
    <col min="3887" max="3890" width="15.42578125" customWidth="1"/>
    <col min="3892" max="3892" width="11.42578125" customWidth="1"/>
    <col min="3893" max="3893" width="11.140625" customWidth="1"/>
    <col min="3894" max="3894" width="9.85546875" customWidth="1"/>
    <col min="3900" max="3900" width="10.42578125" customWidth="1"/>
    <col min="3907" max="3907" width="15" customWidth="1"/>
    <col min="3913" max="3914" width="11.140625" customWidth="1"/>
    <col min="3915" max="3915" width="12" customWidth="1"/>
    <col min="3916" max="3916" width="11.140625" customWidth="1"/>
    <col min="3917" max="3917" width="15.42578125" customWidth="1"/>
    <col min="3919" max="3919" width="10.7109375" customWidth="1"/>
    <col min="4097" max="4097" width="16.42578125" customWidth="1"/>
    <col min="4103" max="4103" width="10.7109375" customWidth="1"/>
    <col min="4106" max="4106" width="12.7109375" customWidth="1"/>
    <col min="4107" max="4107" width="14" customWidth="1"/>
    <col min="4109" max="4109" width="10.140625" customWidth="1"/>
    <col min="4110" max="4110" width="12.42578125" customWidth="1"/>
    <col min="4111" max="4111" width="11.85546875" customWidth="1"/>
    <col min="4116" max="4116" width="15.140625" customWidth="1"/>
    <col min="4117" max="4117" width="10.140625" customWidth="1"/>
    <col min="4118" max="4118" width="10.42578125" customWidth="1"/>
    <col min="4119" max="4119" width="13.28515625" customWidth="1"/>
    <col min="4120" max="4120" width="12.85546875" bestFit="1" customWidth="1"/>
    <col min="4121" max="4121" width="13.85546875" customWidth="1"/>
    <col min="4122" max="4122" width="12.140625" customWidth="1"/>
    <col min="4129" max="4129" width="13.85546875" customWidth="1"/>
    <col min="4134" max="4134" width="13.5703125" customWidth="1"/>
    <col min="4135" max="4135" width="12.42578125" bestFit="1" customWidth="1"/>
    <col min="4136" max="4136" width="16.42578125" customWidth="1"/>
    <col min="4137" max="4137" width="11.5703125" customWidth="1"/>
    <col min="4138" max="4138" width="11.140625" customWidth="1"/>
    <col min="4139" max="4139" width="12.140625" customWidth="1"/>
    <col min="4140" max="4140" width="11.85546875" customWidth="1"/>
    <col min="4141" max="4141" width="15.42578125" customWidth="1"/>
    <col min="4142" max="4142" width="15.140625" customWidth="1"/>
    <col min="4143" max="4146" width="15.42578125" customWidth="1"/>
    <col min="4148" max="4148" width="11.42578125" customWidth="1"/>
    <col min="4149" max="4149" width="11.140625" customWidth="1"/>
    <col min="4150" max="4150" width="9.85546875" customWidth="1"/>
    <col min="4156" max="4156" width="10.42578125" customWidth="1"/>
    <col min="4163" max="4163" width="15" customWidth="1"/>
    <col min="4169" max="4170" width="11.140625" customWidth="1"/>
    <col min="4171" max="4171" width="12" customWidth="1"/>
    <col min="4172" max="4172" width="11.140625" customWidth="1"/>
    <col min="4173" max="4173" width="15.42578125" customWidth="1"/>
    <col min="4175" max="4175" width="10.7109375" customWidth="1"/>
    <col min="4353" max="4353" width="16.42578125" customWidth="1"/>
    <col min="4359" max="4359" width="10.7109375" customWidth="1"/>
    <col min="4362" max="4362" width="12.7109375" customWidth="1"/>
    <col min="4363" max="4363" width="14" customWidth="1"/>
    <col min="4365" max="4365" width="10.140625" customWidth="1"/>
    <col min="4366" max="4366" width="12.42578125" customWidth="1"/>
    <col min="4367" max="4367" width="11.85546875" customWidth="1"/>
    <col min="4372" max="4372" width="15.140625" customWidth="1"/>
    <col min="4373" max="4373" width="10.140625" customWidth="1"/>
    <col min="4374" max="4374" width="10.42578125" customWidth="1"/>
    <col min="4375" max="4375" width="13.28515625" customWidth="1"/>
    <col min="4376" max="4376" width="12.85546875" bestFit="1" customWidth="1"/>
    <col min="4377" max="4377" width="13.85546875" customWidth="1"/>
    <col min="4378" max="4378" width="12.140625" customWidth="1"/>
    <col min="4385" max="4385" width="13.85546875" customWidth="1"/>
    <col min="4390" max="4390" width="13.5703125" customWidth="1"/>
    <col min="4391" max="4391" width="12.42578125" bestFit="1" customWidth="1"/>
    <col min="4392" max="4392" width="16.42578125" customWidth="1"/>
    <col min="4393" max="4393" width="11.5703125" customWidth="1"/>
    <col min="4394" max="4394" width="11.140625" customWidth="1"/>
    <col min="4395" max="4395" width="12.140625" customWidth="1"/>
    <col min="4396" max="4396" width="11.85546875" customWidth="1"/>
    <col min="4397" max="4397" width="15.42578125" customWidth="1"/>
    <col min="4398" max="4398" width="15.140625" customWidth="1"/>
    <col min="4399" max="4402" width="15.42578125" customWidth="1"/>
    <col min="4404" max="4404" width="11.42578125" customWidth="1"/>
    <col min="4405" max="4405" width="11.140625" customWidth="1"/>
    <col min="4406" max="4406" width="9.85546875" customWidth="1"/>
    <col min="4412" max="4412" width="10.42578125" customWidth="1"/>
    <col min="4419" max="4419" width="15" customWidth="1"/>
    <col min="4425" max="4426" width="11.140625" customWidth="1"/>
    <col min="4427" max="4427" width="12" customWidth="1"/>
    <col min="4428" max="4428" width="11.140625" customWidth="1"/>
    <col min="4429" max="4429" width="15.42578125" customWidth="1"/>
    <col min="4431" max="4431" width="10.7109375" customWidth="1"/>
    <col min="4609" max="4609" width="16.42578125" customWidth="1"/>
    <col min="4615" max="4615" width="10.7109375" customWidth="1"/>
    <col min="4618" max="4618" width="12.7109375" customWidth="1"/>
    <col min="4619" max="4619" width="14" customWidth="1"/>
    <col min="4621" max="4621" width="10.140625" customWidth="1"/>
    <col min="4622" max="4622" width="12.42578125" customWidth="1"/>
    <col min="4623" max="4623" width="11.85546875" customWidth="1"/>
    <col min="4628" max="4628" width="15.140625" customWidth="1"/>
    <col min="4629" max="4629" width="10.140625" customWidth="1"/>
    <col min="4630" max="4630" width="10.42578125" customWidth="1"/>
    <col min="4631" max="4631" width="13.28515625" customWidth="1"/>
    <col min="4632" max="4632" width="12.85546875" bestFit="1" customWidth="1"/>
    <col min="4633" max="4633" width="13.85546875" customWidth="1"/>
    <col min="4634" max="4634" width="12.140625" customWidth="1"/>
    <col min="4641" max="4641" width="13.85546875" customWidth="1"/>
    <col min="4646" max="4646" width="13.5703125" customWidth="1"/>
    <col min="4647" max="4647" width="12.42578125" bestFit="1" customWidth="1"/>
    <col min="4648" max="4648" width="16.42578125" customWidth="1"/>
    <col min="4649" max="4649" width="11.5703125" customWidth="1"/>
    <col min="4650" max="4650" width="11.140625" customWidth="1"/>
    <col min="4651" max="4651" width="12.140625" customWidth="1"/>
    <col min="4652" max="4652" width="11.85546875" customWidth="1"/>
    <col min="4653" max="4653" width="15.42578125" customWidth="1"/>
    <col min="4654" max="4654" width="15.140625" customWidth="1"/>
    <col min="4655" max="4658" width="15.42578125" customWidth="1"/>
    <col min="4660" max="4660" width="11.42578125" customWidth="1"/>
    <col min="4661" max="4661" width="11.140625" customWidth="1"/>
    <col min="4662" max="4662" width="9.85546875" customWidth="1"/>
    <col min="4668" max="4668" width="10.42578125" customWidth="1"/>
    <col min="4675" max="4675" width="15" customWidth="1"/>
    <col min="4681" max="4682" width="11.140625" customWidth="1"/>
    <col min="4683" max="4683" width="12" customWidth="1"/>
    <col min="4684" max="4684" width="11.140625" customWidth="1"/>
    <col min="4685" max="4685" width="15.42578125" customWidth="1"/>
    <col min="4687" max="4687" width="10.7109375" customWidth="1"/>
    <col min="4865" max="4865" width="16.42578125" customWidth="1"/>
    <col min="4871" max="4871" width="10.7109375" customWidth="1"/>
    <col min="4874" max="4874" width="12.7109375" customWidth="1"/>
    <col min="4875" max="4875" width="14" customWidth="1"/>
    <col min="4877" max="4877" width="10.140625" customWidth="1"/>
    <col min="4878" max="4878" width="12.42578125" customWidth="1"/>
    <col min="4879" max="4879" width="11.85546875" customWidth="1"/>
    <col min="4884" max="4884" width="15.140625" customWidth="1"/>
    <col min="4885" max="4885" width="10.140625" customWidth="1"/>
    <col min="4886" max="4886" width="10.42578125" customWidth="1"/>
    <col min="4887" max="4887" width="13.28515625" customWidth="1"/>
    <col min="4888" max="4888" width="12.85546875" bestFit="1" customWidth="1"/>
    <col min="4889" max="4889" width="13.85546875" customWidth="1"/>
    <col min="4890" max="4890" width="12.140625" customWidth="1"/>
    <col min="4897" max="4897" width="13.85546875" customWidth="1"/>
    <col min="4902" max="4902" width="13.5703125" customWidth="1"/>
    <col min="4903" max="4903" width="12.42578125" bestFit="1" customWidth="1"/>
    <col min="4904" max="4904" width="16.42578125" customWidth="1"/>
    <col min="4905" max="4905" width="11.5703125" customWidth="1"/>
    <col min="4906" max="4906" width="11.140625" customWidth="1"/>
    <col min="4907" max="4907" width="12.140625" customWidth="1"/>
    <col min="4908" max="4908" width="11.85546875" customWidth="1"/>
    <col min="4909" max="4909" width="15.42578125" customWidth="1"/>
    <col min="4910" max="4910" width="15.140625" customWidth="1"/>
    <col min="4911" max="4914" width="15.42578125" customWidth="1"/>
    <col min="4916" max="4916" width="11.42578125" customWidth="1"/>
    <col min="4917" max="4917" width="11.140625" customWidth="1"/>
    <col min="4918" max="4918" width="9.85546875" customWidth="1"/>
    <col min="4924" max="4924" width="10.42578125" customWidth="1"/>
    <col min="4931" max="4931" width="15" customWidth="1"/>
    <col min="4937" max="4938" width="11.140625" customWidth="1"/>
    <col min="4939" max="4939" width="12" customWidth="1"/>
    <col min="4940" max="4940" width="11.140625" customWidth="1"/>
    <col min="4941" max="4941" width="15.42578125" customWidth="1"/>
    <col min="4943" max="4943" width="10.7109375" customWidth="1"/>
    <col min="5121" max="5121" width="16.42578125" customWidth="1"/>
    <col min="5127" max="5127" width="10.7109375" customWidth="1"/>
    <col min="5130" max="5130" width="12.7109375" customWidth="1"/>
    <col min="5131" max="5131" width="14" customWidth="1"/>
    <col min="5133" max="5133" width="10.140625" customWidth="1"/>
    <col min="5134" max="5134" width="12.42578125" customWidth="1"/>
    <col min="5135" max="5135" width="11.85546875" customWidth="1"/>
    <col min="5140" max="5140" width="15.140625" customWidth="1"/>
    <col min="5141" max="5141" width="10.140625" customWidth="1"/>
    <col min="5142" max="5142" width="10.42578125" customWidth="1"/>
    <col min="5143" max="5143" width="13.28515625" customWidth="1"/>
    <col min="5144" max="5144" width="12.85546875" bestFit="1" customWidth="1"/>
    <col min="5145" max="5145" width="13.85546875" customWidth="1"/>
    <col min="5146" max="5146" width="12.140625" customWidth="1"/>
    <col min="5153" max="5153" width="13.85546875" customWidth="1"/>
    <col min="5158" max="5158" width="13.5703125" customWidth="1"/>
    <col min="5159" max="5159" width="12.42578125" bestFit="1" customWidth="1"/>
    <col min="5160" max="5160" width="16.42578125" customWidth="1"/>
    <col min="5161" max="5161" width="11.5703125" customWidth="1"/>
    <col min="5162" max="5162" width="11.140625" customWidth="1"/>
    <col min="5163" max="5163" width="12.140625" customWidth="1"/>
    <col min="5164" max="5164" width="11.85546875" customWidth="1"/>
    <col min="5165" max="5165" width="15.42578125" customWidth="1"/>
    <col min="5166" max="5166" width="15.140625" customWidth="1"/>
    <col min="5167" max="5170" width="15.42578125" customWidth="1"/>
    <col min="5172" max="5172" width="11.42578125" customWidth="1"/>
    <col min="5173" max="5173" width="11.140625" customWidth="1"/>
    <col min="5174" max="5174" width="9.85546875" customWidth="1"/>
    <col min="5180" max="5180" width="10.42578125" customWidth="1"/>
    <col min="5187" max="5187" width="15" customWidth="1"/>
    <col min="5193" max="5194" width="11.140625" customWidth="1"/>
    <col min="5195" max="5195" width="12" customWidth="1"/>
    <col min="5196" max="5196" width="11.140625" customWidth="1"/>
    <col min="5197" max="5197" width="15.42578125" customWidth="1"/>
    <col min="5199" max="5199" width="10.7109375" customWidth="1"/>
    <col min="5377" max="5377" width="16.42578125" customWidth="1"/>
    <col min="5383" max="5383" width="10.7109375" customWidth="1"/>
    <col min="5386" max="5386" width="12.7109375" customWidth="1"/>
    <col min="5387" max="5387" width="14" customWidth="1"/>
    <col min="5389" max="5389" width="10.140625" customWidth="1"/>
    <col min="5390" max="5390" width="12.42578125" customWidth="1"/>
    <col min="5391" max="5391" width="11.85546875" customWidth="1"/>
    <col min="5396" max="5396" width="15.140625" customWidth="1"/>
    <col min="5397" max="5397" width="10.140625" customWidth="1"/>
    <col min="5398" max="5398" width="10.42578125" customWidth="1"/>
    <col min="5399" max="5399" width="13.28515625" customWidth="1"/>
    <col min="5400" max="5400" width="12.85546875" bestFit="1" customWidth="1"/>
    <col min="5401" max="5401" width="13.85546875" customWidth="1"/>
    <col min="5402" max="5402" width="12.140625" customWidth="1"/>
    <col min="5409" max="5409" width="13.85546875" customWidth="1"/>
    <col min="5414" max="5414" width="13.5703125" customWidth="1"/>
    <col min="5415" max="5415" width="12.42578125" bestFit="1" customWidth="1"/>
    <col min="5416" max="5416" width="16.42578125" customWidth="1"/>
    <col min="5417" max="5417" width="11.5703125" customWidth="1"/>
    <col min="5418" max="5418" width="11.140625" customWidth="1"/>
    <col min="5419" max="5419" width="12.140625" customWidth="1"/>
    <col min="5420" max="5420" width="11.85546875" customWidth="1"/>
    <col min="5421" max="5421" width="15.42578125" customWidth="1"/>
    <col min="5422" max="5422" width="15.140625" customWidth="1"/>
    <col min="5423" max="5426" width="15.42578125" customWidth="1"/>
    <col min="5428" max="5428" width="11.42578125" customWidth="1"/>
    <col min="5429" max="5429" width="11.140625" customWidth="1"/>
    <col min="5430" max="5430" width="9.85546875" customWidth="1"/>
    <col min="5436" max="5436" width="10.42578125" customWidth="1"/>
    <col min="5443" max="5443" width="15" customWidth="1"/>
    <col min="5449" max="5450" width="11.140625" customWidth="1"/>
    <col min="5451" max="5451" width="12" customWidth="1"/>
    <col min="5452" max="5452" width="11.140625" customWidth="1"/>
    <col min="5453" max="5453" width="15.42578125" customWidth="1"/>
    <col min="5455" max="5455" width="10.7109375" customWidth="1"/>
    <col min="5633" max="5633" width="16.42578125" customWidth="1"/>
    <col min="5639" max="5639" width="10.7109375" customWidth="1"/>
    <col min="5642" max="5642" width="12.7109375" customWidth="1"/>
    <col min="5643" max="5643" width="14" customWidth="1"/>
    <col min="5645" max="5645" width="10.140625" customWidth="1"/>
    <col min="5646" max="5646" width="12.42578125" customWidth="1"/>
    <col min="5647" max="5647" width="11.85546875" customWidth="1"/>
    <col min="5652" max="5652" width="15.140625" customWidth="1"/>
    <col min="5653" max="5653" width="10.140625" customWidth="1"/>
    <col min="5654" max="5654" width="10.42578125" customWidth="1"/>
    <col min="5655" max="5655" width="13.28515625" customWidth="1"/>
    <col min="5656" max="5656" width="12.85546875" bestFit="1" customWidth="1"/>
    <col min="5657" max="5657" width="13.85546875" customWidth="1"/>
    <col min="5658" max="5658" width="12.140625" customWidth="1"/>
    <col min="5665" max="5665" width="13.85546875" customWidth="1"/>
    <col min="5670" max="5670" width="13.5703125" customWidth="1"/>
    <col min="5671" max="5671" width="12.42578125" bestFit="1" customWidth="1"/>
    <col min="5672" max="5672" width="16.42578125" customWidth="1"/>
    <col min="5673" max="5673" width="11.5703125" customWidth="1"/>
    <col min="5674" max="5674" width="11.140625" customWidth="1"/>
    <col min="5675" max="5675" width="12.140625" customWidth="1"/>
    <col min="5676" max="5676" width="11.85546875" customWidth="1"/>
    <col min="5677" max="5677" width="15.42578125" customWidth="1"/>
    <col min="5678" max="5678" width="15.140625" customWidth="1"/>
    <col min="5679" max="5682" width="15.42578125" customWidth="1"/>
    <col min="5684" max="5684" width="11.42578125" customWidth="1"/>
    <col min="5685" max="5685" width="11.140625" customWidth="1"/>
    <col min="5686" max="5686" width="9.85546875" customWidth="1"/>
    <col min="5692" max="5692" width="10.42578125" customWidth="1"/>
    <col min="5699" max="5699" width="15" customWidth="1"/>
    <col min="5705" max="5706" width="11.140625" customWidth="1"/>
    <col min="5707" max="5707" width="12" customWidth="1"/>
    <col min="5708" max="5708" width="11.140625" customWidth="1"/>
    <col min="5709" max="5709" width="15.42578125" customWidth="1"/>
    <col min="5711" max="5711" width="10.7109375" customWidth="1"/>
    <col min="5889" max="5889" width="16.42578125" customWidth="1"/>
    <col min="5895" max="5895" width="10.7109375" customWidth="1"/>
    <col min="5898" max="5898" width="12.7109375" customWidth="1"/>
    <col min="5899" max="5899" width="14" customWidth="1"/>
    <col min="5901" max="5901" width="10.140625" customWidth="1"/>
    <col min="5902" max="5902" width="12.42578125" customWidth="1"/>
    <col min="5903" max="5903" width="11.85546875" customWidth="1"/>
    <col min="5908" max="5908" width="15.140625" customWidth="1"/>
    <col min="5909" max="5909" width="10.140625" customWidth="1"/>
    <col min="5910" max="5910" width="10.42578125" customWidth="1"/>
    <col min="5911" max="5911" width="13.28515625" customWidth="1"/>
    <col min="5912" max="5912" width="12.85546875" bestFit="1" customWidth="1"/>
    <col min="5913" max="5913" width="13.85546875" customWidth="1"/>
    <col min="5914" max="5914" width="12.140625" customWidth="1"/>
    <col min="5921" max="5921" width="13.85546875" customWidth="1"/>
    <col min="5926" max="5926" width="13.5703125" customWidth="1"/>
    <col min="5927" max="5927" width="12.42578125" bestFit="1" customWidth="1"/>
    <col min="5928" max="5928" width="16.42578125" customWidth="1"/>
    <col min="5929" max="5929" width="11.5703125" customWidth="1"/>
    <col min="5930" max="5930" width="11.140625" customWidth="1"/>
    <col min="5931" max="5931" width="12.140625" customWidth="1"/>
    <col min="5932" max="5932" width="11.85546875" customWidth="1"/>
    <col min="5933" max="5933" width="15.42578125" customWidth="1"/>
    <col min="5934" max="5934" width="15.140625" customWidth="1"/>
    <col min="5935" max="5938" width="15.42578125" customWidth="1"/>
    <col min="5940" max="5940" width="11.42578125" customWidth="1"/>
    <col min="5941" max="5941" width="11.140625" customWidth="1"/>
    <col min="5942" max="5942" width="9.85546875" customWidth="1"/>
    <col min="5948" max="5948" width="10.42578125" customWidth="1"/>
    <col min="5955" max="5955" width="15" customWidth="1"/>
    <col min="5961" max="5962" width="11.140625" customWidth="1"/>
    <col min="5963" max="5963" width="12" customWidth="1"/>
    <col min="5964" max="5964" width="11.140625" customWidth="1"/>
    <col min="5965" max="5965" width="15.42578125" customWidth="1"/>
    <col min="5967" max="5967" width="10.7109375" customWidth="1"/>
    <col min="6145" max="6145" width="16.42578125" customWidth="1"/>
    <col min="6151" max="6151" width="10.7109375" customWidth="1"/>
    <col min="6154" max="6154" width="12.7109375" customWidth="1"/>
    <col min="6155" max="6155" width="14" customWidth="1"/>
    <col min="6157" max="6157" width="10.140625" customWidth="1"/>
    <col min="6158" max="6158" width="12.42578125" customWidth="1"/>
    <col min="6159" max="6159" width="11.85546875" customWidth="1"/>
    <col min="6164" max="6164" width="15.140625" customWidth="1"/>
    <col min="6165" max="6165" width="10.140625" customWidth="1"/>
    <col min="6166" max="6166" width="10.42578125" customWidth="1"/>
    <col min="6167" max="6167" width="13.28515625" customWidth="1"/>
    <col min="6168" max="6168" width="12.85546875" bestFit="1" customWidth="1"/>
    <col min="6169" max="6169" width="13.85546875" customWidth="1"/>
    <col min="6170" max="6170" width="12.140625" customWidth="1"/>
    <col min="6177" max="6177" width="13.85546875" customWidth="1"/>
    <col min="6182" max="6182" width="13.5703125" customWidth="1"/>
    <col min="6183" max="6183" width="12.42578125" bestFit="1" customWidth="1"/>
    <col min="6184" max="6184" width="16.42578125" customWidth="1"/>
    <col min="6185" max="6185" width="11.5703125" customWidth="1"/>
    <col min="6186" max="6186" width="11.140625" customWidth="1"/>
    <col min="6187" max="6187" width="12.140625" customWidth="1"/>
    <col min="6188" max="6188" width="11.85546875" customWidth="1"/>
    <col min="6189" max="6189" width="15.42578125" customWidth="1"/>
    <col min="6190" max="6190" width="15.140625" customWidth="1"/>
    <col min="6191" max="6194" width="15.42578125" customWidth="1"/>
    <col min="6196" max="6196" width="11.42578125" customWidth="1"/>
    <col min="6197" max="6197" width="11.140625" customWidth="1"/>
    <col min="6198" max="6198" width="9.85546875" customWidth="1"/>
    <col min="6204" max="6204" width="10.42578125" customWidth="1"/>
    <col min="6211" max="6211" width="15" customWidth="1"/>
    <col min="6217" max="6218" width="11.140625" customWidth="1"/>
    <col min="6219" max="6219" width="12" customWidth="1"/>
    <col min="6220" max="6220" width="11.140625" customWidth="1"/>
    <col min="6221" max="6221" width="15.42578125" customWidth="1"/>
    <col min="6223" max="6223" width="10.7109375" customWidth="1"/>
    <col min="6401" max="6401" width="16.42578125" customWidth="1"/>
    <col min="6407" max="6407" width="10.7109375" customWidth="1"/>
    <col min="6410" max="6410" width="12.7109375" customWidth="1"/>
    <col min="6411" max="6411" width="14" customWidth="1"/>
    <col min="6413" max="6413" width="10.140625" customWidth="1"/>
    <col min="6414" max="6414" width="12.42578125" customWidth="1"/>
    <col min="6415" max="6415" width="11.85546875" customWidth="1"/>
    <col min="6420" max="6420" width="15.140625" customWidth="1"/>
    <col min="6421" max="6421" width="10.140625" customWidth="1"/>
    <col min="6422" max="6422" width="10.42578125" customWidth="1"/>
    <col min="6423" max="6423" width="13.28515625" customWidth="1"/>
    <col min="6424" max="6424" width="12.85546875" bestFit="1" customWidth="1"/>
    <col min="6425" max="6425" width="13.85546875" customWidth="1"/>
    <col min="6426" max="6426" width="12.140625" customWidth="1"/>
    <col min="6433" max="6433" width="13.85546875" customWidth="1"/>
    <col min="6438" max="6438" width="13.5703125" customWidth="1"/>
    <col min="6439" max="6439" width="12.42578125" bestFit="1" customWidth="1"/>
    <col min="6440" max="6440" width="16.42578125" customWidth="1"/>
    <col min="6441" max="6441" width="11.5703125" customWidth="1"/>
    <col min="6442" max="6442" width="11.140625" customWidth="1"/>
    <col min="6443" max="6443" width="12.140625" customWidth="1"/>
    <col min="6444" max="6444" width="11.85546875" customWidth="1"/>
    <col min="6445" max="6445" width="15.42578125" customWidth="1"/>
    <col min="6446" max="6446" width="15.140625" customWidth="1"/>
    <col min="6447" max="6450" width="15.42578125" customWidth="1"/>
    <col min="6452" max="6452" width="11.42578125" customWidth="1"/>
    <col min="6453" max="6453" width="11.140625" customWidth="1"/>
    <col min="6454" max="6454" width="9.85546875" customWidth="1"/>
    <col min="6460" max="6460" width="10.42578125" customWidth="1"/>
    <col min="6467" max="6467" width="15" customWidth="1"/>
    <col min="6473" max="6474" width="11.140625" customWidth="1"/>
    <col min="6475" max="6475" width="12" customWidth="1"/>
    <col min="6476" max="6476" width="11.140625" customWidth="1"/>
    <col min="6477" max="6477" width="15.42578125" customWidth="1"/>
    <col min="6479" max="6479" width="10.7109375" customWidth="1"/>
    <col min="6657" max="6657" width="16.42578125" customWidth="1"/>
    <col min="6663" max="6663" width="10.7109375" customWidth="1"/>
    <col min="6666" max="6666" width="12.7109375" customWidth="1"/>
    <col min="6667" max="6667" width="14" customWidth="1"/>
    <col min="6669" max="6669" width="10.140625" customWidth="1"/>
    <col min="6670" max="6670" width="12.42578125" customWidth="1"/>
    <col min="6671" max="6671" width="11.85546875" customWidth="1"/>
    <col min="6676" max="6676" width="15.140625" customWidth="1"/>
    <col min="6677" max="6677" width="10.140625" customWidth="1"/>
    <col min="6678" max="6678" width="10.42578125" customWidth="1"/>
    <col min="6679" max="6679" width="13.28515625" customWidth="1"/>
    <col min="6680" max="6680" width="12.85546875" bestFit="1" customWidth="1"/>
    <col min="6681" max="6681" width="13.85546875" customWidth="1"/>
    <col min="6682" max="6682" width="12.140625" customWidth="1"/>
    <col min="6689" max="6689" width="13.85546875" customWidth="1"/>
    <col min="6694" max="6694" width="13.5703125" customWidth="1"/>
    <col min="6695" max="6695" width="12.42578125" bestFit="1" customWidth="1"/>
    <col min="6696" max="6696" width="16.42578125" customWidth="1"/>
    <col min="6697" max="6697" width="11.5703125" customWidth="1"/>
    <col min="6698" max="6698" width="11.140625" customWidth="1"/>
    <col min="6699" max="6699" width="12.140625" customWidth="1"/>
    <col min="6700" max="6700" width="11.85546875" customWidth="1"/>
    <col min="6701" max="6701" width="15.42578125" customWidth="1"/>
    <col min="6702" max="6702" width="15.140625" customWidth="1"/>
    <col min="6703" max="6706" width="15.42578125" customWidth="1"/>
    <col min="6708" max="6708" width="11.42578125" customWidth="1"/>
    <col min="6709" max="6709" width="11.140625" customWidth="1"/>
    <col min="6710" max="6710" width="9.85546875" customWidth="1"/>
    <col min="6716" max="6716" width="10.42578125" customWidth="1"/>
    <col min="6723" max="6723" width="15" customWidth="1"/>
    <col min="6729" max="6730" width="11.140625" customWidth="1"/>
    <col min="6731" max="6731" width="12" customWidth="1"/>
    <col min="6732" max="6732" width="11.140625" customWidth="1"/>
    <col min="6733" max="6733" width="15.42578125" customWidth="1"/>
    <col min="6735" max="6735" width="10.7109375" customWidth="1"/>
    <col min="6913" max="6913" width="16.42578125" customWidth="1"/>
    <col min="6919" max="6919" width="10.7109375" customWidth="1"/>
    <col min="6922" max="6922" width="12.7109375" customWidth="1"/>
    <col min="6923" max="6923" width="14" customWidth="1"/>
    <col min="6925" max="6925" width="10.140625" customWidth="1"/>
    <col min="6926" max="6926" width="12.42578125" customWidth="1"/>
    <col min="6927" max="6927" width="11.85546875" customWidth="1"/>
    <col min="6932" max="6932" width="15.140625" customWidth="1"/>
    <col min="6933" max="6933" width="10.140625" customWidth="1"/>
    <col min="6934" max="6934" width="10.42578125" customWidth="1"/>
    <col min="6935" max="6935" width="13.28515625" customWidth="1"/>
    <col min="6936" max="6936" width="12.85546875" bestFit="1" customWidth="1"/>
    <col min="6937" max="6937" width="13.85546875" customWidth="1"/>
    <col min="6938" max="6938" width="12.140625" customWidth="1"/>
    <col min="6945" max="6945" width="13.85546875" customWidth="1"/>
    <col min="6950" max="6950" width="13.5703125" customWidth="1"/>
    <col min="6951" max="6951" width="12.42578125" bestFit="1" customWidth="1"/>
    <col min="6952" max="6952" width="16.42578125" customWidth="1"/>
    <col min="6953" max="6953" width="11.5703125" customWidth="1"/>
    <col min="6954" max="6954" width="11.140625" customWidth="1"/>
    <col min="6955" max="6955" width="12.140625" customWidth="1"/>
    <col min="6956" max="6956" width="11.85546875" customWidth="1"/>
    <col min="6957" max="6957" width="15.42578125" customWidth="1"/>
    <col min="6958" max="6958" width="15.140625" customWidth="1"/>
    <col min="6959" max="6962" width="15.42578125" customWidth="1"/>
    <col min="6964" max="6964" width="11.42578125" customWidth="1"/>
    <col min="6965" max="6965" width="11.140625" customWidth="1"/>
    <col min="6966" max="6966" width="9.85546875" customWidth="1"/>
    <col min="6972" max="6972" width="10.42578125" customWidth="1"/>
    <col min="6979" max="6979" width="15" customWidth="1"/>
    <col min="6985" max="6986" width="11.140625" customWidth="1"/>
    <col min="6987" max="6987" width="12" customWidth="1"/>
    <col min="6988" max="6988" width="11.140625" customWidth="1"/>
    <col min="6989" max="6989" width="15.42578125" customWidth="1"/>
    <col min="6991" max="6991" width="10.7109375" customWidth="1"/>
    <col min="7169" max="7169" width="16.42578125" customWidth="1"/>
    <col min="7175" max="7175" width="10.7109375" customWidth="1"/>
    <col min="7178" max="7178" width="12.7109375" customWidth="1"/>
    <col min="7179" max="7179" width="14" customWidth="1"/>
    <col min="7181" max="7181" width="10.140625" customWidth="1"/>
    <col min="7182" max="7182" width="12.42578125" customWidth="1"/>
    <col min="7183" max="7183" width="11.85546875" customWidth="1"/>
    <col min="7188" max="7188" width="15.140625" customWidth="1"/>
    <col min="7189" max="7189" width="10.140625" customWidth="1"/>
    <col min="7190" max="7190" width="10.42578125" customWidth="1"/>
    <col min="7191" max="7191" width="13.28515625" customWidth="1"/>
    <col min="7192" max="7192" width="12.85546875" bestFit="1" customWidth="1"/>
    <col min="7193" max="7193" width="13.85546875" customWidth="1"/>
    <col min="7194" max="7194" width="12.140625" customWidth="1"/>
    <col min="7201" max="7201" width="13.85546875" customWidth="1"/>
    <col min="7206" max="7206" width="13.5703125" customWidth="1"/>
    <col min="7207" max="7207" width="12.42578125" bestFit="1" customWidth="1"/>
    <col min="7208" max="7208" width="16.42578125" customWidth="1"/>
    <col min="7209" max="7209" width="11.5703125" customWidth="1"/>
    <col min="7210" max="7210" width="11.140625" customWidth="1"/>
    <col min="7211" max="7211" width="12.140625" customWidth="1"/>
    <col min="7212" max="7212" width="11.85546875" customWidth="1"/>
    <col min="7213" max="7213" width="15.42578125" customWidth="1"/>
    <col min="7214" max="7214" width="15.140625" customWidth="1"/>
    <col min="7215" max="7218" width="15.42578125" customWidth="1"/>
    <col min="7220" max="7220" width="11.42578125" customWidth="1"/>
    <col min="7221" max="7221" width="11.140625" customWidth="1"/>
    <col min="7222" max="7222" width="9.85546875" customWidth="1"/>
    <col min="7228" max="7228" width="10.42578125" customWidth="1"/>
    <col min="7235" max="7235" width="15" customWidth="1"/>
    <col min="7241" max="7242" width="11.140625" customWidth="1"/>
    <col min="7243" max="7243" width="12" customWidth="1"/>
    <col min="7244" max="7244" width="11.140625" customWidth="1"/>
    <col min="7245" max="7245" width="15.42578125" customWidth="1"/>
    <col min="7247" max="7247" width="10.7109375" customWidth="1"/>
    <col min="7425" max="7425" width="16.42578125" customWidth="1"/>
    <col min="7431" max="7431" width="10.7109375" customWidth="1"/>
    <col min="7434" max="7434" width="12.7109375" customWidth="1"/>
    <col min="7435" max="7435" width="14" customWidth="1"/>
    <col min="7437" max="7437" width="10.140625" customWidth="1"/>
    <col min="7438" max="7438" width="12.42578125" customWidth="1"/>
    <col min="7439" max="7439" width="11.85546875" customWidth="1"/>
    <col min="7444" max="7444" width="15.140625" customWidth="1"/>
    <col min="7445" max="7445" width="10.140625" customWidth="1"/>
    <col min="7446" max="7446" width="10.42578125" customWidth="1"/>
    <col min="7447" max="7447" width="13.28515625" customWidth="1"/>
    <col min="7448" max="7448" width="12.85546875" bestFit="1" customWidth="1"/>
    <col min="7449" max="7449" width="13.85546875" customWidth="1"/>
    <col min="7450" max="7450" width="12.140625" customWidth="1"/>
    <col min="7457" max="7457" width="13.85546875" customWidth="1"/>
    <col min="7462" max="7462" width="13.5703125" customWidth="1"/>
    <col min="7463" max="7463" width="12.42578125" bestFit="1" customWidth="1"/>
    <col min="7464" max="7464" width="16.42578125" customWidth="1"/>
    <col min="7465" max="7465" width="11.5703125" customWidth="1"/>
    <col min="7466" max="7466" width="11.140625" customWidth="1"/>
    <col min="7467" max="7467" width="12.140625" customWidth="1"/>
    <col min="7468" max="7468" width="11.85546875" customWidth="1"/>
    <col min="7469" max="7469" width="15.42578125" customWidth="1"/>
    <col min="7470" max="7470" width="15.140625" customWidth="1"/>
    <col min="7471" max="7474" width="15.42578125" customWidth="1"/>
    <col min="7476" max="7476" width="11.42578125" customWidth="1"/>
    <col min="7477" max="7477" width="11.140625" customWidth="1"/>
    <col min="7478" max="7478" width="9.85546875" customWidth="1"/>
    <col min="7484" max="7484" width="10.42578125" customWidth="1"/>
    <col min="7491" max="7491" width="15" customWidth="1"/>
    <col min="7497" max="7498" width="11.140625" customWidth="1"/>
    <col min="7499" max="7499" width="12" customWidth="1"/>
    <col min="7500" max="7500" width="11.140625" customWidth="1"/>
    <col min="7501" max="7501" width="15.42578125" customWidth="1"/>
    <col min="7503" max="7503" width="10.7109375" customWidth="1"/>
    <col min="7681" max="7681" width="16.42578125" customWidth="1"/>
    <col min="7687" max="7687" width="10.7109375" customWidth="1"/>
    <col min="7690" max="7690" width="12.7109375" customWidth="1"/>
    <col min="7691" max="7691" width="14" customWidth="1"/>
    <col min="7693" max="7693" width="10.140625" customWidth="1"/>
    <col min="7694" max="7694" width="12.42578125" customWidth="1"/>
    <col min="7695" max="7695" width="11.85546875" customWidth="1"/>
    <col min="7700" max="7700" width="15.140625" customWidth="1"/>
    <col min="7701" max="7701" width="10.140625" customWidth="1"/>
    <col min="7702" max="7702" width="10.42578125" customWidth="1"/>
    <col min="7703" max="7703" width="13.28515625" customWidth="1"/>
    <col min="7704" max="7704" width="12.85546875" bestFit="1" customWidth="1"/>
    <col min="7705" max="7705" width="13.85546875" customWidth="1"/>
    <col min="7706" max="7706" width="12.140625" customWidth="1"/>
    <col min="7713" max="7713" width="13.85546875" customWidth="1"/>
    <col min="7718" max="7718" width="13.5703125" customWidth="1"/>
    <col min="7719" max="7719" width="12.42578125" bestFit="1" customWidth="1"/>
    <col min="7720" max="7720" width="16.42578125" customWidth="1"/>
    <col min="7721" max="7721" width="11.5703125" customWidth="1"/>
    <col min="7722" max="7722" width="11.140625" customWidth="1"/>
    <col min="7723" max="7723" width="12.140625" customWidth="1"/>
    <col min="7724" max="7724" width="11.85546875" customWidth="1"/>
    <col min="7725" max="7725" width="15.42578125" customWidth="1"/>
    <col min="7726" max="7726" width="15.140625" customWidth="1"/>
    <col min="7727" max="7730" width="15.42578125" customWidth="1"/>
    <col min="7732" max="7732" width="11.42578125" customWidth="1"/>
    <col min="7733" max="7733" width="11.140625" customWidth="1"/>
    <col min="7734" max="7734" width="9.85546875" customWidth="1"/>
    <col min="7740" max="7740" width="10.42578125" customWidth="1"/>
    <col min="7747" max="7747" width="15" customWidth="1"/>
    <col min="7753" max="7754" width="11.140625" customWidth="1"/>
    <col min="7755" max="7755" width="12" customWidth="1"/>
    <col min="7756" max="7756" width="11.140625" customWidth="1"/>
    <col min="7757" max="7757" width="15.42578125" customWidth="1"/>
    <col min="7759" max="7759" width="10.7109375" customWidth="1"/>
    <col min="7937" max="7937" width="16.42578125" customWidth="1"/>
    <col min="7943" max="7943" width="10.7109375" customWidth="1"/>
    <col min="7946" max="7946" width="12.7109375" customWidth="1"/>
    <col min="7947" max="7947" width="14" customWidth="1"/>
    <col min="7949" max="7949" width="10.140625" customWidth="1"/>
    <col min="7950" max="7950" width="12.42578125" customWidth="1"/>
    <col min="7951" max="7951" width="11.85546875" customWidth="1"/>
    <col min="7956" max="7956" width="15.140625" customWidth="1"/>
    <col min="7957" max="7957" width="10.140625" customWidth="1"/>
    <col min="7958" max="7958" width="10.42578125" customWidth="1"/>
    <col min="7959" max="7959" width="13.28515625" customWidth="1"/>
    <col min="7960" max="7960" width="12.85546875" bestFit="1" customWidth="1"/>
    <col min="7961" max="7961" width="13.85546875" customWidth="1"/>
    <col min="7962" max="7962" width="12.140625" customWidth="1"/>
    <col min="7969" max="7969" width="13.85546875" customWidth="1"/>
    <col min="7974" max="7974" width="13.5703125" customWidth="1"/>
    <col min="7975" max="7975" width="12.42578125" bestFit="1" customWidth="1"/>
    <col min="7976" max="7976" width="16.42578125" customWidth="1"/>
    <col min="7977" max="7977" width="11.5703125" customWidth="1"/>
    <col min="7978" max="7978" width="11.140625" customWidth="1"/>
    <col min="7979" max="7979" width="12.140625" customWidth="1"/>
    <col min="7980" max="7980" width="11.85546875" customWidth="1"/>
    <col min="7981" max="7981" width="15.42578125" customWidth="1"/>
    <col min="7982" max="7982" width="15.140625" customWidth="1"/>
    <col min="7983" max="7986" width="15.42578125" customWidth="1"/>
    <col min="7988" max="7988" width="11.42578125" customWidth="1"/>
    <col min="7989" max="7989" width="11.140625" customWidth="1"/>
    <col min="7990" max="7990" width="9.85546875" customWidth="1"/>
    <col min="7996" max="7996" width="10.42578125" customWidth="1"/>
    <col min="8003" max="8003" width="15" customWidth="1"/>
    <col min="8009" max="8010" width="11.140625" customWidth="1"/>
    <col min="8011" max="8011" width="12" customWidth="1"/>
    <col min="8012" max="8012" width="11.140625" customWidth="1"/>
    <col min="8013" max="8013" width="15.42578125" customWidth="1"/>
    <col min="8015" max="8015" width="10.7109375" customWidth="1"/>
    <col min="8193" max="8193" width="16.42578125" customWidth="1"/>
    <col min="8199" max="8199" width="10.7109375" customWidth="1"/>
    <col min="8202" max="8202" width="12.7109375" customWidth="1"/>
    <col min="8203" max="8203" width="14" customWidth="1"/>
    <col min="8205" max="8205" width="10.140625" customWidth="1"/>
    <col min="8206" max="8206" width="12.42578125" customWidth="1"/>
    <col min="8207" max="8207" width="11.85546875" customWidth="1"/>
    <col min="8212" max="8212" width="15.140625" customWidth="1"/>
    <col min="8213" max="8213" width="10.140625" customWidth="1"/>
    <col min="8214" max="8214" width="10.42578125" customWidth="1"/>
    <col min="8215" max="8215" width="13.28515625" customWidth="1"/>
    <col min="8216" max="8216" width="12.85546875" bestFit="1" customWidth="1"/>
    <col min="8217" max="8217" width="13.85546875" customWidth="1"/>
    <col min="8218" max="8218" width="12.140625" customWidth="1"/>
    <col min="8225" max="8225" width="13.85546875" customWidth="1"/>
    <col min="8230" max="8230" width="13.5703125" customWidth="1"/>
    <col min="8231" max="8231" width="12.42578125" bestFit="1" customWidth="1"/>
    <col min="8232" max="8232" width="16.42578125" customWidth="1"/>
    <col min="8233" max="8233" width="11.5703125" customWidth="1"/>
    <col min="8234" max="8234" width="11.140625" customWidth="1"/>
    <col min="8235" max="8235" width="12.140625" customWidth="1"/>
    <col min="8236" max="8236" width="11.85546875" customWidth="1"/>
    <col min="8237" max="8237" width="15.42578125" customWidth="1"/>
    <col min="8238" max="8238" width="15.140625" customWidth="1"/>
    <col min="8239" max="8242" width="15.42578125" customWidth="1"/>
    <col min="8244" max="8244" width="11.42578125" customWidth="1"/>
    <col min="8245" max="8245" width="11.140625" customWidth="1"/>
    <col min="8246" max="8246" width="9.85546875" customWidth="1"/>
    <col min="8252" max="8252" width="10.42578125" customWidth="1"/>
    <col min="8259" max="8259" width="15" customWidth="1"/>
    <col min="8265" max="8266" width="11.140625" customWidth="1"/>
    <col min="8267" max="8267" width="12" customWidth="1"/>
    <col min="8268" max="8268" width="11.140625" customWidth="1"/>
    <col min="8269" max="8269" width="15.42578125" customWidth="1"/>
    <col min="8271" max="8271" width="10.7109375" customWidth="1"/>
    <col min="8449" max="8449" width="16.42578125" customWidth="1"/>
    <col min="8455" max="8455" width="10.7109375" customWidth="1"/>
    <col min="8458" max="8458" width="12.7109375" customWidth="1"/>
    <col min="8459" max="8459" width="14" customWidth="1"/>
    <col min="8461" max="8461" width="10.140625" customWidth="1"/>
    <col min="8462" max="8462" width="12.42578125" customWidth="1"/>
    <col min="8463" max="8463" width="11.85546875" customWidth="1"/>
    <col min="8468" max="8468" width="15.140625" customWidth="1"/>
    <col min="8469" max="8469" width="10.140625" customWidth="1"/>
    <col min="8470" max="8470" width="10.42578125" customWidth="1"/>
    <col min="8471" max="8471" width="13.28515625" customWidth="1"/>
    <col min="8472" max="8472" width="12.85546875" bestFit="1" customWidth="1"/>
    <col min="8473" max="8473" width="13.85546875" customWidth="1"/>
    <col min="8474" max="8474" width="12.140625" customWidth="1"/>
    <col min="8481" max="8481" width="13.85546875" customWidth="1"/>
    <col min="8486" max="8486" width="13.5703125" customWidth="1"/>
    <col min="8487" max="8487" width="12.42578125" bestFit="1" customWidth="1"/>
    <col min="8488" max="8488" width="16.42578125" customWidth="1"/>
    <col min="8489" max="8489" width="11.5703125" customWidth="1"/>
    <col min="8490" max="8490" width="11.140625" customWidth="1"/>
    <col min="8491" max="8491" width="12.140625" customWidth="1"/>
    <col min="8492" max="8492" width="11.85546875" customWidth="1"/>
    <col min="8493" max="8493" width="15.42578125" customWidth="1"/>
    <col min="8494" max="8494" width="15.140625" customWidth="1"/>
    <col min="8495" max="8498" width="15.42578125" customWidth="1"/>
    <col min="8500" max="8500" width="11.42578125" customWidth="1"/>
    <col min="8501" max="8501" width="11.140625" customWidth="1"/>
    <col min="8502" max="8502" width="9.85546875" customWidth="1"/>
    <col min="8508" max="8508" width="10.42578125" customWidth="1"/>
    <col min="8515" max="8515" width="15" customWidth="1"/>
    <col min="8521" max="8522" width="11.140625" customWidth="1"/>
    <col min="8523" max="8523" width="12" customWidth="1"/>
    <col min="8524" max="8524" width="11.140625" customWidth="1"/>
    <col min="8525" max="8525" width="15.42578125" customWidth="1"/>
    <col min="8527" max="8527" width="10.7109375" customWidth="1"/>
    <col min="8705" max="8705" width="16.42578125" customWidth="1"/>
    <col min="8711" max="8711" width="10.7109375" customWidth="1"/>
    <col min="8714" max="8714" width="12.7109375" customWidth="1"/>
    <col min="8715" max="8715" width="14" customWidth="1"/>
    <col min="8717" max="8717" width="10.140625" customWidth="1"/>
    <col min="8718" max="8718" width="12.42578125" customWidth="1"/>
    <col min="8719" max="8719" width="11.85546875" customWidth="1"/>
    <col min="8724" max="8724" width="15.140625" customWidth="1"/>
    <col min="8725" max="8725" width="10.140625" customWidth="1"/>
    <col min="8726" max="8726" width="10.42578125" customWidth="1"/>
    <col min="8727" max="8727" width="13.28515625" customWidth="1"/>
    <col min="8728" max="8728" width="12.85546875" bestFit="1" customWidth="1"/>
    <col min="8729" max="8729" width="13.85546875" customWidth="1"/>
    <col min="8730" max="8730" width="12.140625" customWidth="1"/>
    <col min="8737" max="8737" width="13.85546875" customWidth="1"/>
    <col min="8742" max="8742" width="13.5703125" customWidth="1"/>
    <col min="8743" max="8743" width="12.42578125" bestFit="1" customWidth="1"/>
    <col min="8744" max="8744" width="16.42578125" customWidth="1"/>
    <col min="8745" max="8745" width="11.5703125" customWidth="1"/>
    <col min="8746" max="8746" width="11.140625" customWidth="1"/>
    <col min="8747" max="8747" width="12.140625" customWidth="1"/>
    <col min="8748" max="8748" width="11.85546875" customWidth="1"/>
    <col min="8749" max="8749" width="15.42578125" customWidth="1"/>
    <col min="8750" max="8750" width="15.140625" customWidth="1"/>
    <col min="8751" max="8754" width="15.42578125" customWidth="1"/>
    <col min="8756" max="8756" width="11.42578125" customWidth="1"/>
    <col min="8757" max="8757" width="11.140625" customWidth="1"/>
    <col min="8758" max="8758" width="9.85546875" customWidth="1"/>
    <col min="8764" max="8764" width="10.42578125" customWidth="1"/>
    <col min="8771" max="8771" width="15" customWidth="1"/>
    <col min="8777" max="8778" width="11.140625" customWidth="1"/>
    <col min="8779" max="8779" width="12" customWidth="1"/>
    <col min="8780" max="8780" width="11.140625" customWidth="1"/>
    <col min="8781" max="8781" width="15.42578125" customWidth="1"/>
    <col min="8783" max="8783" width="10.7109375" customWidth="1"/>
    <col min="8961" max="8961" width="16.42578125" customWidth="1"/>
    <col min="8967" max="8967" width="10.7109375" customWidth="1"/>
    <col min="8970" max="8970" width="12.7109375" customWidth="1"/>
    <col min="8971" max="8971" width="14" customWidth="1"/>
    <col min="8973" max="8973" width="10.140625" customWidth="1"/>
    <col min="8974" max="8974" width="12.42578125" customWidth="1"/>
    <col min="8975" max="8975" width="11.85546875" customWidth="1"/>
    <col min="8980" max="8980" width="15.140625" customWidth="1"/>
    <col min="8981" max="8981" width="10.140625" customWidth="1"/>
    <col min="8982" max="8982" width="10.42578125" customWidth="1"/>
    <col min="8983" max="8983" width="13.28515625" customWidth="1"/>
    <col min="8984" max="8984" width="12.85546875" bestFit="1" customWidth="1"/>
    <col min="8985" max="8985" width="13.85546875" customWidth="1"/>
    <col min="8986" max="8986" width="12.140625" customWidth="1"/>
    <col min="8993" max="8993" width="13.85546875" customWidth="1"/>
    <col min="8998" max="8998" width="13.5703125" customWidth="1"/>
    <col min="8999" max="8999" width="12.42578125" bestFit="1" customWidth="1"/>
    <col min="9000" max="9000" width="16.42578125" customWidth="1"/>
    <col min="9001" max="9001" width="11.5703125" customWidth="1"/>
    <col min="9002" max="9002" width="11.140625" customWidth="1"/>
    <col min="9003" max="9003" width="12.140625" customWidth="1"/>
    <col min="9004" max="9004" width="11.85546875" customWidth="1"/>
    <col min="9005" max="9005" width="15.42578125" customWidth="1"/>
    <col min="9006" max="9006" width="15.140625" customWidth="1"/>
    <col min="9007" max="9010" width="15.42578125" customWidth="1"/>
    <col min="9012" max="9012" width="11.42578125" customWidth="1"/>
    <col min="9013" max="9013" width="11.140625" customWidth="1"/>
    <col min="9014" max="9014" width="9.85546875" customWidth="1"/>
    <col min="9020" max="9020" width="10.42578125" customWidth="1"/>
    <col min="9027" max="9027" width="15" customWidth="1"/>
    <col min="9033" max="9034" width="11.140625" customWidth="1"/>
    <col min="9035" max="9035" width="12" customWidth="1"/>
    <col min="9036" max="9036" width="11.140625" customWidth="1"/>
    <col min="9037" max="9037" width="15.42578125" customWidth="1"/>
    <col min="9039" max="9039" width="10.7109375" customWidth="1"/>
    <col min="9217" max="9217" width="16.42578125" customWidth="1"/>
    <col min="9223" max="9223" width="10.7109375" customWidth="1"/>
    <col min="9226" max="9226" width="12.7109375" customWidth="1"/>
    <col min="9227" max="9227" width="14" customWidth="1"/>
    <col min="9229" max="9229" width="10.140625" customWidth="1"/>
    <col min="9230" max="9230" width="12.42578125" customWidth="1"/>
    <col min="9231" max="9231" width="11.85546875" customWidth="1"/>
    <col min="9236" max="9236" width="15.140625" customWidth="1"/>
    <col min="9237" max="9237" width="10.140625" customWidth="1"/>
    <col min="9238" max="9238" width="10.42578125" customWidth="1"/>
    <col min="9239" max="9239" width="13.28515625" customWidth="1"/>
    <col min="9240" max="9240" width="12.85546875" bestFit="1" customWidth="1"/>
    <col min="9241" max="9241" width="13.85546875" customWidth="1"/>
    <col min="9242" max="9242" width="12.140625" customWidth="1"/>
    <col min="9249" max="9249" width="13.85546875" customWidth="1"/>
    <col min="9254" max="9254" width="13.5703125" customWidth="1"/>
    <col min="9255" max="9255" width="12.42578125" bestFit="1" customWidth="1"/>
    <col min="9256" max="9256" width="16.42578125" customWidth="1"/>
    <col min="9257" max="9257" width="11.5703125" customWidth="1"/>
    <col min="9258" max="9258" width="11.140625" customWidth="1"/>
    <col min="9259" max="9259" width="12.140625" customWidth="1"/>
    <col min="9260" max="9260" width="11.85546875" customWidth="1"/>
    <col min="9261" max="9261" width="15.42578125" customWidth="1"/>
    <col min="9262" max="9262" width="15.140625" customWidth="1"/>
    <col min="9263" max="9266" width="15.42578125" customWidth="1"/>
    <col min="9268" max="9268" width="11.42578125" customWidth="1"/>
    <col min="9269" max="9269" width="11.140625" customWidth="1"/>
    <col min="9270" max="9270" width="9.85546875" customWidth="1"/>
    <col min="9276" max="9276" width="10.42578125" customWidth="1"/>
    <col min="9283" max="9283" width="15" customWidth="1"/>
    <col min="9289" max="9290" width="11.140625" customWidth="1"/>
    <col min="9291" max="9291" width="12" customWidth="1"/>
    <col min="9292" max="9292" width="11.140625" customWidth="1"/>
    <col min="9293" max="9293" width="15.42578125" customWidth="1"/>
    <col min="9295" max="9295" width="10.7109375" customWidth="1"/>
    <col min="9473" max="9473" width="16.42578125" customWidth="1"/>
    <col min="9479" max="9479" width="10.7109375" customWidth="1"/>
    <col min="9482" max="9482" width="12.7109375" customWidth="1"/>
    <col min="9483" max="9483" width="14" customWidth="1"/>
    <col min="9485" max="9485" width="10.140625" customWidth="1"/>
    <col min="9486" max="9486" width="12.42578125" customWidth="1"/>
    <col min="9487" max="9487" width="11.85546875" customWidth="1"/>
    <col min="9492" max="9492" width="15.140625" customWidth="1"/>
    <col min="9493" max="9493" width="10.140625" customWidth="1"/>
    <col min="9494" max="9494" width="10.42578125" customWidth="1"/>
    <col min="9495" max="9495" width="13.28515625" customWidth="1"/>
    <col min="9496" max="9496" width="12.85546875" bestFit="1" customWidth="1"/>
    <col min="9497" max="9497" width="13.85546875" customWidth="1"/>
    <col min="9498" max="9498" width="12.140625" customWidth="1"/>
    <col min="9505" max="9505" width="13.85546875" customWidth="1"/>
    <col min="9510" max="9510" width="13.5703125" customWidth="1"/>
    <col min="9511" max="9511" width="12.42578125" bestFit="1" customWidth="1"/>
    <col min="9512" max="9512" width="16.42578125" customWidth="1"/>
    <col min="9513" max="9513" width="11.5703125" customWidth="1"/>
    <col min="9514" max="9514" width="11.140625" customWidth="1"/>
    <col min="9515" max="9515" width="12.140625" customWidth="1"/>
    <col min="9516" max="9516" width="11.85546875" customWidth="1"/>
    <col min="9517" max="9517" width="15.42578125" customWidth="1"/>
    <col min="9518" max="9518" width="15.140625" customWidth="1"/>
    <col min="9519" max="9522" width="15.42578125" customWidth="1"/>
    <col min="9524" max="9524" width="11.42578125" customWidth="1"/>
    <col min="9525" max="9525" width="11.140625" customWidth="1"/>
    <col min="9526" max="9526" width="9.85546875" customWidth="1"/>
    <col min="9532" max="9532" width="10.42578125" customWidth="1"/>
    <col min="9539" max="9539" width="15" customWidth="1"/>
    <col min="9545" max="9546" width="11.140625" customWidth="1"/>
    <col min="9547" max="9547" width="12" customWidth="1"/>
    <col min="9548" max="9548" width="11.140625" customWidth="1"/>
    <col min="9549" max="9549" width="15.42578125" customWidth="1"/>
    <col min="9551" max="9551" width="10.7109375" customWidth="1"/>
    <col min="9729" max="9729" width="16.42578125" customWidth="1"/>
    <col min="9735" max="9735" width="10.7109375" customWidth="1"/>
    <col min="9738" max="9738" width="12.7109375" customWidth="1"/>
    <col min="9739" max="9739" width="14" customWidth="1"/>
    <col min="9741" max="9741" width="10.140625" customWidth="1"/>
    <col min="9742" max="9742" width="12.42578125" customWidth="1"/>
    <col min="9743" max="9743" width="11.85546875" customWidth="1"/>
    <col min="9748" max="9748" width="15.140625" customWidth="1"/>
    <col min="9749" max="9749" width="10.140625" customWidth="1"/>
    <col min="9750" max="9750" width="10.42578125" customWidth="1"/>
    <col min="9751" max="9751" width="13.28515625" customWidth="1"/>
    <col min="9752" max="9752" width="12.85546875" bestFit="1" customWidth="1"/>
    <col min="9753" max="9753" width="13.85546875" customWidth="1"/>
    <col min="9754" max="9754" width="12.140625" customWidth="1"/>
    <col min="9761" max="9761" width="13.85546875" customWidth="1"/>
    <col min="9766" max="9766" width="13.5703125" customWidth="1"/>
    <col min="9767" max="9767" width="12.42578125" bestFit="1" customWidth="1"/>
    <col min="9768" max="9768" width="16.42578125" customWidth="1"/>
    <col min="9769" max="9769" width="11.5703125" customWidth="1"/>
    <col min="9770" max="9770" width="11.140625" customWidth="1"/>
    <col min="9771" max="9771" width="12.140625" customWidth="1"/>
    <col min="9772" max="9772" width="11.85546875" customWidth="1"/>
    <col min="9773" max="9773" width="15.42578125" customWidth="1"/>
    <col min="9774" max="9774" width="15.140625" customWidth="1"/>
    <col min="9775" max="9778" width="15.42578125" customWidth="1"/>
    <col min="9780" max="9780" width="11.42578125" customWidth="1"/>
    <col min="9781" max="9781" width="11.140625" customWidth="1"/>
    <col min="9782" max="9782" width="9.85546875" customWidth="1"/>
    <col min="9788" max="9788" width="10.42578125" customWidth="1"/>
    <col min="9795" max="9795" width="15" customWidth="1"/>
    <col min="9801" max="9802" width="11.140625" customWidth="1"/>
    <col min="9803" max="9803" width="12" customWidth="1"/>
    <col min="9804" max="9804" width="11.140625" customWidth="1"/>
    <col min="9805" max="9805" width="15.42578125" customWidth="1"/>
    <col min="9807" max="9807" width="10.7109375" customWidth="1"/>
    <col min="9985" max="9985" width="16.42578125" customWidth="1"/>
    <col min="9991" max="9991" width="10.7109375" customWidth="1"/>
    <col min="9994" max="9994" width="12.7109375" customWidth="1"/>
    <col min="9995" max="9995" width="14" customWidth="1"/>
    <col min="9997" max="9997" width="10.140625" customWidth="1"/>
    <col min="9998" max="9998" width="12.42578125" customWidth="1"/>
    <col min="9999" max="9999" width="11.85546875" customWidth="1"/>
    <col min="10004" max="10004" width="15.140625" customWidth="1"/>
    <col min="10005" max="10005" width="10.140625" customWidth="1"/>
    <col min="10006" max="10006" width="10.42578125" customWidth="1"/>
    <col min="10007" max="10007" width="13.28515625" customWidth="1"/>
    <col min="10008" max="10008" width="12.85546875" bestFit="1" customWidth="1"/>
    <col min="10009" max="10009" width="13.85546875" customWidth="1"/>
    <col min="10010" max="10010" width="12.140625" customWidth="1"/>
    <col min="10017" max="10017" width="13.85546875" customWidth="1"/>
    <col min="10022" max="10022" width="13.5703125" customWidth="1"/>
    <col min="10023" max="10023" width="12.42578125" bestFit="1" customWidth="1"/>
    <col min="10024" max="10024" width="16.42578125" customWidth="1"/>
    <col min="10025" max="10025" width="11.5703125" customWidth="1"/>
    <col min="10026" max="10026" width="11.140625" customWidth="1"/>
    <col min="10027" max="10027" width="12.140625" customWidth="1"/>
    <col min="10028" max="10028" width="11.85546875" customWidth="1"/>
    <col min="10029" max="10029" width="15.42578125" customWidth="1"/>
    <col min="10030" max="10030" width="15.140625" customWidth="1"/>
    <col min="10031" max="10034" width="15.42578125" customWidth="1"/>
    <col min="10036" max="10036" width="11.42578125" customWidth="1"/>
    <col min="10037" max="10037" width="11.140625" customWidth="1"/>
    <col min="10038" max="10038" width="9.85546875" customWidth="1"/>
    <col min="10044" max="10044" width="10.42578125" customWidth="1"/>
    <col min="10051" max="10051" width="15" customWidth="1"/>
    <col min="10057" max="10058" width="11.140625" customWidth="1"/>
    <col min="10059" max="10059" width="12" customWidth="1"/>
    <col min="10060" max="10060" width="11.140625" customWidth="1"/>
    <col min="10061" max="10061" width="15.42578125" customWidth="1"/>
    <col min="10063" max="10063" width="10.7109375" customWidth="1"/>
    <col min="10241" max="10241" width="16.42578125" customWidth="1"/>
    <col min="10247" max="10247" width="10.7109375" customWidth="1"/>
    <col min="10250" max="10250" width="12.7109375" customWidth="1"/>
    <col min="10251" max="10251" width="14" customWidth="1"/>
    <col min="10253" max="10253" width="10.140625" customWidth="1"/>
    <col min="10254" max="10254" width="12.42578125" customWidth="1"/>
    <col min="10255" max="10255" width="11.85546875" customWidth="1"/>
    <col min="10260" max="10260" width="15.140625" customWidth="1"/>
    <col min="10261" max="10261" width="10.140625" customWidth="1"/>
    <col min="10262" max="10262" width="10.42578125" customWidth="1"/>
    <col min="10263" max="10263" width="13.28515625" customWidth="1"/>
    <col min="10264" max="10264" width="12.85546875" bestFit="1" customWidth="1"/>
    <col min="10265" max="10265" width="13.85546875" customWidth="1"/>
    <col min="10266" max="10266" width="12.140625" customWidth="1"/>
    <col min="10273" max="10273" width="13.85546875" customWidth="1"/>
    <col min="10278" max="10278" width="13.5703125" customWidth="1"/>
    <col min="10279" max="10279" width="12.42578125" bestFit="1" customWidth="1"/>
    <col min="10280" max="10280" width="16.42578125" customWidth="1"/>
    <col min="10281" max="10281" width="11.5703125" customWidth="1"/>
    <col min="10282" max="10282" width="11.140625" customWidth="1"/>
    <col min="10283" max="10283" width="12.140625" customWidth="1"/>
    <col min="10284" max="10284" width="11.85546875" customWidth="1"/>
    <col min="10285" max="10285" width="15.42578125" customWidth="1"/>
    <col min="10286" max="10286" width="15.140625" customWidth="1"/>
    <col min="10287" max="10290" width="15.42578125" customWidth="1"/>
    <col min="10292" max="10292" width="11.42578125" customWidth="1"/>
    <col min="10293" max="10293" width="11.140625" customWidth="1"/>
    <col min="10294" max="10294" width="9.85546875" customWidth="1"/>
    <col min="10300" max="10300" width="10.42578125" customWidth="1"/>
    <col min="10307" max="10307" width="15" customWidth="1"/>
    <col min="10313" max="10314" width="11.140625" customWidth="1"/>
    <col min="10315" max="10315" width="12" customWidth="1"/>
    <col min="10316" max="10316" width="11.140625" customWidth="1"/>
    <col min="10317" max="10317" width="15.42578125" customWidth="1"/>
    <col min="10319" max="10319" width="10.7109375" customWidth="1"/>
    <col min="10497" max="10497" width="16.42578125" customWidth="1"/>
    <col min="10503" max="10503" width="10.7109375" customWidth="1"/>
    <col min="10506" max="10506" width="12.7109375" customWidth="1"/>
    <col min="10507" max="10507" width="14" customWidth="1"/>
    <col min="10509" max="10509" width="10.140625" customWidth="1"/>
    <col min="10510" max="10510" width="12.42578125" customWidth="1"/>
    <col min="10511" max="10511" width="11.85546875" customWidth="1"/>
    <col min="10516" max="10516" width="15.140625" customWidth="1"/>
    <col min="10517" max="10517" width="10.140625" customWidth="1"/>
    <col min="10518" max="10518" width="10.42578125" customWidth="1"/>
    <col min="10519" max="10519" width="13.28515625" customWidth="1"/>
    <col min="10520" max="10520" width="12.85546875" bestFit="1" customWidth="1"/>
    <col min="10521" max="10521" width="13.85546875" customWidth="1"/>
    <col min="10522" max="10522" width="12.140625" customWidth="1"/>
    <col min="10529" max="10529" width="13.85546875" customWidth="1"/>
    <col min="10534" max="10534" width="13.5703125" customWidth="1"/>
    <col min="10535" max="10535" width="12.42578125" bestFit="1" customWidth="1"/>
    <col min="10536" max="10536" width="16.42578125" customWidth="1"/>
    <col min="10537" max="10537" width="11.5703125" customWidth="1"/>
    <col min="10538" max="10538" width="11.140625" customWidth="1"/>
    <col min="10539" max="10539" width="12.140625" customWidth="1"/>
    <col min="10540" max="10540" width="11.85546875" customWidth="1"/>
    <col min="10541" max="10541" width="15.42578125" customWidth="1"/>
    <col min="10542" max="10542" width="15.140625" customWidth="1"/>
    <col min="10543" max="10546" width="15.42578125" customWidth="1"/>
    <col min="10548" max="10548" width="11.42578125" customWidth="1"/>
    <col min="10549" max="10549" width="11.140625" customWidth="1"/>
    <col min="10550" max="10550" width="9.85546875" customWidth="1"/>
    <col min="10556" max="10556" width="10.42578125" customWidth="1"/>
    <col min="10563" max="10563" width="15" customWidth="1"/>
    <col min="10569" max="10570" width="11.140625" customWidth="1"/>
    <col min="10571" max="10571" width="12" customWidth="1"/>
    <col min="10572" max="10572" width="11.140625" customWidth="1"/>
    <col min="10573" max="10573" width="15.42578125" customWidth="1"/>
    <col min="10575" max="10575" width="10.7109375" customWidth="1"/>
    <col min="10753" max="10753" width="16.42578125" customWidth="1"/>
    <col min="10759" max="10759" width="10.7109375" customWidth="1"/>
    <col min="10762" max="10762" width="12.7109375" customWidth="1"/>
    <col min="10763" max="10763" width="14" customWidth="1"/>
    <col min="10765" max="10765" width="10.140625" customWidth="1"/>
    <col min="10766" max="10766" width="12.42578125" customWidth="1"/>
    <col min="10767" max="10767" width="11.85546875" customWidth="1"/>
    <col min="10772" max="10772" width="15.140625" customWidth="1"/>
    <col min="10773" max="10773" width="10.140625" customWidth="1"/>
    <col min="10774" max="10774" width="10.42578125" customWidth="1"/>
    <col min="10775" max="10775" width="13.28515625" customWidth="1"/>
    <col min="10776" max="10776" width="12.85546875" bestFit="1" customWidth="1"/>
    <col min="10777" max="10777" width="13.85546875" customWidth="1"/>
    <col min="10778" max="10778" width="12.140625" customWidth="1"/>
    <col min="10785" max="10785" width="13.85546875" customWidth="1"/>
    <col min="10790" max="10790" width="13.5703125" customWidth="1"/>
    <col min="10791" max="10791" width="12.42578125" bestFit="1" customWidth="1"/>
    <col min="10792" max="10792" width="16.42578125" customWidth="1"/>
    <col min="10793" max="10793" width="11.5703125" customWidth="1"/>
    <col min="10794" max="10794" width="11.140625" customWidth="1"/>
    <col min="10795" max="10795" width="12.140625" customWidth="1"/>
    <col min="10796" max="10796" width="11.85546875" customWidth="1"/>
    <col min="10797" max="10797" width="15.42578125" customWidth="1"/>
    <col min="10798" max="10798" width="15.140625" customWidth="1"/>
    <col min="10799" max="10802" width="15.42578125" customWidth="1"/>
    <col min="10804" max="10804" width="11.42578125" customWidth="1"/>
    <col min="10805" max="10805" width="11.140625" customWidth="1"/>
    <col min="10806" max="10806" width="9.85546875" customWidth="1"/>
    <col min="10812" max="10812" width="10.42578125" customWidth="1"/>
    <col min="10819" max="10819" width="15" customWidth="1"/>
    <col min="10825" max="10826" width="11.140625" customWidth="1"/>
    <col min="10827" max="10827" width="12" customWidth="1"/>
    <col min="10828" max="10828" width="11.140625" customWidth="1"/>
    <col min="10829" max="10829" width="15.42578125" customWidth="1"/>
    <col min="10831" max="10831" width="10.7109375" customWidth="1"/>
    <col min="11009" max="11009" width="16.42578125" customWidth="1"/>
    <col min="11015" max="11015" width="10.7109375" customWidth="1"/>
    <col min="11018" max="11018" width="12.7109375" customWidth="1"/>
    <col min="11019" max="11019" width="14" customWidth="1"/>
    <col min="11021" max="11021" width="10.140625" customWidth="1"/>
    <col min="11022" max="11022" width="12.42578125" customWidth="1"/>
    <col min="11023" max="11023" width="11.85546875" customWidth="1"/>
    <col min="11028" max="11028" width="15.140625" customWidth="1"/>
    <col min="11029" max="11029" width="10.140625" customWidth="1"/>
    <col min="11030" max="11030" width="10.42578125" customWidth="1"/>
    <col min="11031" max="11031" width="13.28515625" customWidth="1"/>
    <col min="11032" max="11032" width="12.85546875" bestFit="1" customWidth="1"/>
    <col min="11033" max="11033" width="13.85546875" customWidth="1"/>
    <col min="11034" max="11034" width="12.140625" customWidth="1"/>
    <col min="11041" max="11041" width="13.85546875" customWidth="1"/>
    <col min="11046" max="11046" width="13.5703125" customWidth="1"/>
    <col min="11047" max="11047" width="12.42578125" bestFit="1" customWidth="1"/>
    <col min="11048" max="11048" width="16.42578125" customWidth="1"/>
    <col min="11049" max="11049" width="11.5703125" customWidth="1"/>
    <col min="11050" max="11050" width="11.140625" customWidth="1"/>
    <col min="11051" max="11051" width="12.140625" customWidth="1"/>
    <col min="11052" max="11052" width="11.85546875" customWidth="1"/>
    <col min="11053" max="11053" width="15.42578125" customWidth="1"/>
    <col min="11054" max="11054" width="15.140625" customWidth="1"/>
    <col min="11055" max="11058" width="15.42578125" customWidth="1"/>
    <col min="11060" max="11060" width="11.42578125" customWidth="1"/>
    <col min="11061" max="11061" width="11.140625" customWidth="1"/>
    <col min="11062" max="11062" width="9.85546875" customWidth="1"/>
    <col min="11068" max="11068" width="10.42578125" customWidth="1"/>
    <col min="11075" max="11075" width="15" customWidth="1"/>
    <col min="11081" max="11082" width="11.140625" customWidth="1"/>
    <col min="11083" max="11083" width="12" customWidth="1"/>
    <col min="11084" max="11084" width="11.140625" customWidth="1"/>
    <col min="11085" max="11085" width="15.42578125" customWidth="1"/>
    <col min="11087" max="11087" width="10.7109375" customWidth="1"/>
    <col min="11265" max="11265" width="16.42578125" customWidth="1"/>
    <col min="11271" max="11271" width="10.7109375" customWidth="1"/>
    <col min="11274" max="11274" width="12.7109375" customWidth="1"/>
    <col min="11275" max="11275" width="14" customWidth="1"/>
    <col min="11277" max="11277" width="10.140625" customWidth="1"/>
    <col min="11278" max="11278" width="12.42578125" customWidth="1"/>
    <col min="11279" max="11279" width="11.85546875" customWidth="1"/>
    <col min="11284" max="11284" width="15.140625" customWidth="1"/>
    <col min="11285" max="11285" width="10.140625" customWidth="1"/>
    <col min="11286" max="11286" width="10.42578125" customWidth="1"/>
    <col min="11287" max="11287" width="13.28515625" customWidth="1"/>
    <col min="11288" max="11288" width="12.85546875" bestFit="1" customWidth="1"/>
    <col min="11289" max="11289" width="13.85546875" customWidth="1"/>
    <col min="11290" max="11290" width="12.140625" customWidth="1"/>
    <col min="11297" max="11297" width="13.85546875" customWidth="1"/>
    <col min="11302" max="11302" width="13.5703125" customWidth="1"/>
    <col min="11303" max="11303" width="12.42578125" bestFit="1" customWidth="1"/>
    <col min="11304" max="11304" width="16.42578125" customWidth="1"/>
    <col min="11305" max="11305" width="11.5703125" customWidth="1"/>
    <col min="11306" max="11306" width="11.140625" customWidth="1"/>
    <col min="11307" max="11307" width="12.140625" customWidth="1"/>
    <col min="11308" max="11308" width="11.85546875" customWidth="1"/>
    <col min="11309" max="11309" width="15.42578125" customWidth="1"/>
    <col min="11310" max="11310" width="15.140625" customWidth="1"/>
    <col min="11311" max="11314" width="15.42578125" customWidth="1"/>
    <col min="11316" max="11316" width="11.42578125" customWidth="1"/>
    <col min="11317" max="11317" width="11.140625" customWidth="1"/>
    <col min="11318" max="11318" width="9.85546875" customWidth="1"/>
    <col min="11324" max="11324" width="10.42578125" customWidth="1"/>
    <col min="11331" max="11331" width="15" customWidth="1"/>
    <col min="11337" max="11338" width="11.140625" customWidth="1"/>
    <col min="11339" max="11339" width="12" customWidth="1"/>
    <col min="11340" max="11340" width="11.140625" customWidth="1"/>
    <col min="11341" max="11341" width="15.42578125" customWidth="1"/>
    <col min="11343" max="11343" width="10.7109375" customWidth="1"/>
    <col min="11521" max="11521" width="16.42578125" customWidth="1"/>
    <col min="11527" max="11527" width="10.7109375" customWidth="1"/>
    <col min="11530" max="11530" width="12.7109375" customWidth="1"/>
    <col min="11531" max="11531" width="14" customWidth="1"/>
    <col min="11533" max="11533" width="10.140625" customWidth="1"/>
    <col min="11534" max="11534" width="12.42578125" customWidth="1"/>
    <col min="11535" max="11535" width="11.85546875" customWidth="1"/>
    <col min="11540" max="11540" width="15.140625" customWidth="1"/>
    <col min="11541" max="11541" width="10.140625" customWidth="1"/>
    <col min="11542" max="11542" width="10.42578125" customWidth="1"/>
    <col min="11543" max="11543" width="13.28515625" customWidth="1"/>
    <col min="11544" max="11544" width="12.85546875" bestFit="1" customWidth="1"/>
    <col min="11545" max="11545" width="13.85546875" customWidth="1"/>
    <col min="11546" max="11546" width="12.140625" customWidth="1"/>
    <col min="11553" max="11553" width="13.85546875" customWidth="1"/>
    <col min="11558" max="11558" width="13.5703125" customWidth="1"/>
    <col min="11559" max="11559" width="12.42578125" bestFit="1" customWidth="1"/>
    <col min="11560" max="11560" width="16.42578125" customWidth="1"/>
    <col min="11561" max="11561" width="11.5703125" customWidth="1"/>
    <col min="11562" max="11562" width="11.140625" customWidth="1"/>
    <col min="11563" max="11563" width="12.140625" customWidth="1"/>
    <col min="11564" max="11564" width="11.85546875" customWidth="1"/>
    <col min="11565" max="11565" width="15.42578125" customWidth="1"/>
    <col min="11566" max="11566" width="15.140625" customWidth="1"/>
    <col min="11567" max="11570" width="15.42578125" customWidth="1"/>
    <col min="11572" max="11572" width="11.42578125" customWidth="1"/>
    <col min="11573" max="11573" width="11.140625" customWidth="1"/>
    <col min="11574" max="11574" width="9.85546875" customWidth="1"/>
    <col min="11580" max="11580" width="10.42578125" customWidth="1"/>
    <col min="11587" max="11587" width="15" customWidth="1"/>
    <col min="11593" max="11594" width="11.140625" customWidth="1"/>
    <col min="11595" max="11595" width="12" customWidth="1"/>
    <col min="11596" max="11596" width="11.140625" customWidth="1"/>
    <col min="11597" max="11597" width="15.42578125" customWidth="1"/>
    <col min="11599" max="11599" width="10.7109375" customWidth="1"/>
    <col min="11777" max="11777" width="16.42578125" customWidth="1"/>
    <col min="11783" max="11783" width="10.7109375" customWidth="1"/>
    <col min="11786" max="11786" width="12.7109375" customWidth="1"/>
    <col min="11787" max="11787" width="14" customWidth="1"/>
    <col min="11789" max="11789" width="10.140625" customWidth="1"/>
    <col min="11790" max="11790" width="12.42578125" customWidth="1"/>
    <col min="11791" max="11791" width="11.85546875" customWidth="1"/>
    <col min="11796" max="11796" width="15.140625" customWidth="1"/>
    <col min="11797" max="11797" width="10.140625" customWidth="1"/>
    <col min="11798" max="11798" width="10.42578125" customWidth="1"/>
    <col min="11799" max="11799" width="13.28515625" customWidth="1"/>
    <col min="11800" max="11800" width="12.85546875" bestFit="1" customWidth="1"/>
    <col min="11801" max="11801" width="13.85546875" customWidth="1"/>
    <col min="11802" max="11802" width="12.140625" customWidth="1"/>
    <col min="11809" max="11809" width="13.85546875" customWidth="1"/>
    <col min="11814" max="11814" width="13.5703125" customWidth="1"/>
    <col min="11815" max="11815" width="12.42578125" bestFit="1" customWidth="1"/>
    <col min="11816" max="11816" width="16.42578125" customWidth="1"/>
    <col min="11817" max="11817" width="11.5703125" customWidth="1"/>
    <col min="11818" max="11818" width="11.140625" customWidth="1"/>
    <col min="11819" max="11819" width="12.140625" customWidth="1"/>
    <col min="11820" max="11820" width="11.85546875" customWidth="1"/>
    <col min="11821" max="11821" width="15.42578125" customWidth="1"/>
    <col min="11822" max="11822" width="15.140625" customWidth="1"/>
    <col min="11823" max="11826" width="15.42578125" customWidth="1"/>
    <col min="11828" max="11828" width="11.42578125" customWidth="1"/>
    <col min="11829" max="11829" width="11.140625" customWidth="1"/>
    <col min="11830" max="11830" width="9.85546875" customWidth="1"/>
    <col min="11836" max="11836" width="10.42578125" customWidth="1"/>
    <col min="11843" max="11843" width="15" customWidth="1"/>
    <col min="11849" max="11850" width="11.140625" customWidth="1"/>
    <col min="11851" max="11851" width="12" customWidth="1"/>
    <col min="11852" max="11852" width="11.140625" customWidth="1"/>
    <col min="11853" max="11853" width="15.42578125" customWidth="1"/>
    <col min="11855" max="11855" width="10.7109375" customWidth="1"/>
    <col min="12033" max="12033" width="16.42578125" customWidth="1"/>
    <col min="12039" max="12039" width="10.7109375" customWidth="1"/>
    <col min="12042" max="12042" width="12.7109375" customWidth="1"/>
    <col min="12043" max="12043" width="14" customWidth="1"/>
    <col min="12045" max="12045" width="10.140625" customWidth="1"/>
    <col min="12046" max="12046" width="12.42578125" customWidth="1"/>
    <col min="12047" max="12047" width="11.85546875" customWidth="1"/>
    <col min="12052" max="12052" width="15.140625" customWidth="1"/>
    <col min="12053" max="12053" width="10.140625" customWidth="1"/>
    <col min="12054" max="12054" width="10.42578125" customWidth="1"/>
    <col min="12055" max="12055" width="13.28515625" customWidth="1"/>
    <col min="12056" max="12056" width="12.85546875" bestFit="1" customWidth="1"/>
    <col min="12057" max="12057" width="13.85546875" customWidth="1"/>
    <col min="12058" max="12058" width="12.140625" customWidth="1"/>
    <col min="12065" max="12065" width="13.85546875" customWidth="1"/>
    <col min="12070" max="12070" width="13.5703125" customWidth="1"/>
    <col min="12071" max="12071" width="12.42578125" bestFit="1" customWidth="1"/>
    <col min="12072" max="12072" width="16.42578125" customWidth="1"/>
    <col min="12073" max="12073" width="11.5703125" customWidth="1"/>
    <col min="12074" max="12074" width="11.140625" customWidth="1"/>
    <col min="12075" max="12075" width="12.140625" customWidth="1"/>
    <col min="12076" max="12076" width="11.85546875" customWidth="1"/>
    <col min="12077" max="12077" width="15.42578125" customWidth="1"/>
    <col min="12078" max="12078" width="15.140625" customWidth="1"/>
    <col min="12079" max="12082" width="15.42578125" customWidth="1"/>
    <col min="12084" max="12084" width="11.42578125" customWidth="1"/>
    <col min="12085" max="12085" width="11.140625" customWidth="1"/>
    <col min="12086" max="12086" width="9.85546875" customWidth="1"/>
    <col min="12092" max="12092" width="10.42578125" customWidth="1"/>
    <col min="12099" max="12099" width="15" customWidth="1"/>
    <col min="12105" max="12106" width="11.140625" customWidth="1"/>
    <col min="12107" max="12107" width="12" customWidth="1"/>
    <col min="12108" max="12108" width="11.140625" customWidth="1"/>
    <col min="12109" max="12109" width="15.42578125" customWidth="1"/>
    <col min="12111" max="12111" width="10.7109375" customWidth="1"/>
    <col min="12289" max="12289" width="16.42578125" customWidth="1"/>
    <col min="12295" max="12295" width="10.7109375" customWidth="1"/>
    <col min="12298" max="12298" width="12.7109375" customWidth="1"/>
    <col min="12299" max="12299" width="14" customWidth="1"/>
    <col min="12301" max="12301" width="10.140625" customWidth="1"/>
    <col min="12302" max="12302" width="12.42578125" customWidth="1"/>
    <col min="12303" max="12303" width="11.85546875" customWidth="1"/>
    <col min="12308" max="12308" width="15.140625" customWidth="1"/>
    <col min="12309" max="12309" width="10.140625" customWidth="1"/>
    <col min="12310" max="12310" width="10.42578125" customWidth="1"/>
    <col min="12311" max="12311" width="13.28515625" customWidth="1"/>
    <col min="12312" max="12312" width="12.85546875" bestFit="1" customWidth="1"/>
    <col min="12313" max="12313" width="13.85546875" customWidth="1"/>
    <col min="12314" max="12314" width="12.140625" customWidth="1"/>
    <col min="12321" max="12321" width="13.85546875" customWidth="1"/>
    <col min="12326" max="12326" width="13.5703125" customWidth="1"/>
    <col min="12327" max="12327" width="12.42578125" bestFit="1" customWidth="1"/>
    <col min="12328" max="12328" width="16.42578125" customWidth="1"/>
    <col min="12329" max="12329" width="11.5703125" customWidth="1"/>
    <col min="12330" max="12330" width="11.140625" customWidth="1"/>
    <col min="12331" max="12331" width="12.140625" customWidth="1"/>
    <col min="12332" max="12332" width="11.85546875" customWidth="1"/>
    <col min="12333" max="12333" width="15.42578125" customWidth="1"/>
    <col min="12334" max="12334" width="15.140625" customWidth="1"/>
    <col min="12335" max="12338" width="15.42578125" customWidth="1"/>
    <col min="12340" max="12340" width="11.42578125" customWidth="1"/>
    <col min="12341" max="12341" width="11.140625" customWidth="1"/>
    <col min="12342" max="12342" width="9.85546875" customWidth="1"/>
    <col min="12348" max="12348" width="10.42578125" customWidth="1"/>
    <col min="12355" max="12355" width="15" customWidth="1"/>
    <col min="12361" max="12362" width="11.140625" customWidth="1"/>
    <col min="12363" max="12363" width="12" customWidth="1"/>
    <col min="12364" max="12364" width="11.140625" customWidth="1"/>
    <col min="12365" max="12365" width="15.42578125" customWidth="1"/>
    <col min="12367" max="12367" width="10.7109375" customWidth="1"/>
    <col min="12545" max="12545" width="16.42578125" customWidth="1"/>
    <col min="12551" max="12551" width="10.7109375" customWidth="1"/>
    <col min="12554" max="12554" width="12.7109375" customWidth="1"/>
    <col min="12555" max="12555" width="14" customWidth="1"/>
    <col min="12557" max="12557" width="10.140625" customWidth="1"/>
    <col min="12558" max="12558" width="12.42578125" customWidth="1"/>
    <col min="12559" max="12559" width="11.85546875" customWidth="1"/>
    <col min="12564" max="12564" width="15.140625" customWidth="1"/>
    <col min="12565" max="12565" width="10.140625" customWidth="1"/>
    <col min="12566" max="12566" width="10.42578125" customWidth="1"/>
    <col min="12567" max="12567" width="13.28515625" customWidth="1"/>
    <col min="12568" max="12568" width="12.85546875" bestFit="1" customWidth="1"/>
    <col min="12569" max="12569" width="13.85546875" customWidth="1"/>
    <col min="12570" max="12570" width="12.140625" customWidth="1"/>
    <col min="12577" max="12577" width="13.85546875" customWidth="1"/>
    <col min="12582" max="12582" width="13.5703125" customWidth="1"/>
    <col min="12583" max="12583" width="12.42578125" bestFit="1" customWidth="1"/>
    <col min="12584" max="12584" width="16.42578125" customWidth="1"/>
    <col min="12585" max="12585" width="11.5703125" customWidth="1"/>
    <col min="12586" max="12586" width="11.140625" customWidth="1"/>
    <col min="12587" max="12587" width="12.140625" customWidth="1"/>
    <col min="12588" max="12588" width="11.85546875" customWidth="1"/>
    <col min="12589" max="12589" width="15.42578125" customWidth="1"/>
    <col min="12590" max="12590" width="15.140625" customWidth="1"/>
    <col min="12591" max="12594" width="15.42578125" customWidth="1"/>
    <col min="12596" max="12596" width="11.42578125" customWidth="1"/>
    <col min="12597" max="12597" width="11.140625" customWidth="1"/>
    <col min="12598" max="12598" width="9.85546875" customWidth="1"/>
    <col min="12604" max="12604" width="10.42578125" customWidth="1"/>
    <col min="12611" max="12611" width="15" customWidth="1"/>
    <col min="12617" max="12618" width="11.140625" customWidth="1"/>
    <col min="12619" max="12619" width="12" customWidth="1"/>
    <col min="12620" max="12620" width="11.140625" customWidth="1"/>
    <col min="12621" max="12621" width="15.42578125" customWidth="1"/>
    <col min="12623" max="12623" width="10.7109375" customWidth="1"/>
    <col min="12801" max="12801" width="16.42578125" customWidth="1"/>
    <col min="12807" max="12807" width="10.7109375" customWidth="1"/>
    <col min="12810" max="12810" width="12.7109375" customWidth="1"/>
    <col min="12811" max="12811" width="14" customWidth="1"/>
    <col min="12813" max="12813" width="10.140625" customWidth="1"/>
    <col min="12814" max="12814" width="12.42578125" customWidth="1"/>
    <col min="12815" max="12815" width="11.85546875" customWidth="1"/>
    <col min="12820" max="12820" width="15.140625" customWidth="1"/>
    <col min="12821" max="12821" width="10.140625" customWidth="1"/>
    <col min="12822" max="12822" width="10.42578125" customWidth="1"/>
    <col min="12823" max="12823" width="13.28515625" customWidth="1"/>
    <col min="12824" max="12824" width="12.85546875" bestFit="1" customWidth="1"/>
    <col min="12825" max="12825" width="13.85546875" customWidth="1"/>
    <col min="12826" max="12826" width="12.140625" customWidth="1"/>
    <col min="12833" max="12833" width="13.85546875" customWidth="1"/>
    <col min="12838" max="12838" width="13.5703125" customWidth="1"/>
    <col min="12839" max="12839" width="12.42578125" bestFit="1" customWidth="1"/>
    <col min="12840" max="12840" width="16.42578125" customWidth="1"/>
    <col min="12841" max="12841" width="11.5703125" customWidth="1"/>
    <col min="12842" max="12842" width="11.140625" customWidth="1"/>
    <col min="12843" max="12843" width="12.140625" customWidth="1"/>
    <col min="12844" max="12844" width="11.85546875" customWidth="1"/>
    <col min="12845" max="12845" width="15.42578125" customWidth="1"/>
    <col min="12846" max="12846" width="15.140625" customWidth="1"/>
    <col min="12847" max="12850" width="15.42578125" customWidth="1"/>
    <col min="12852" max="12852" width="11.42578125" customWidth="1"/>
    <col min="12853" max="12853" width="11.140625" customWidth="1"/>
    <col min="12854" max="12854" width="9.85546875" customWidth="1"/>
    <col min="12860" max="12860" width="10.42578125" customWidth="1"/>
    <col min="12867" max="12867" width="15" customWidth="1"/>
    <col min="12873" max="12874" width="11.140625" customWidth="1"/>
    <col min="12875" max="12875" width="12" customWidth="1"/>
    <col min="12876" max="12876" width="11.140625" customWidth="1"/>
    <col min="12877" max="12877" width="15.42578125" customWidth="1"/>
    <col min="12879" max="12879" width="10.7109375" customWidth="1"/>
    <col min="13057" max="13057" width="16.42578125" customWidth="1"/>
    <col min="13063" max="13063" width="10.7109375" customWidth="1"/>
    <col min="13066" max="13066" width="12.7109375" customWidth="1"/>
    <col min="13067" max="13067" width="14" customWidth="1"/>
    <col min="13069" max="13069" width="10.140625" customWidth="1"/>
    <col min="13070" max="13070" width="12.42578125" customWidth="1"/>
    <col min="13071" max="13071" width="11.85546875" customWidth="1"/>
    <col min="13076" max="13076" width="15.140625" customWidth="1"/>
    <col min="13077" max="13077" width="10.140625" customWidth="1"/>
    <col min="13078" max="13078" width="10.42578125" customWidth="1"/>
    <col min="13079" max="13079" width="13.28515625" customWidth="1"/>
    <col min="13080" max="13080" width="12.85546875" bestFit="1" customWidth="1"/>
    <col min="13081" max="13081" width="13.85546875" customWidth="1"/>
    <col min="13082" max="13082" width="12.140625" customWidth="1"/>
    <col min="13089" max="13089" width="13.85546875" customWidth="1"/>
    <col min="13094" max="13094" width="13.5703125" customWidth="1"/>
    <col min="13095" max="13095" width="12.42578125" bestFit="1" customWidth="1"/>
    <col min="13096" max="13096" width="16.42578125" customWidth="1"/>
    <col min="13097" max="13097" width="11.5703125" customWidth="1"/>
    <col min="13098" max="13098" width="11.140625" customWidth="1"/>
    <col min="13099" max="13099" width="12.140625" customWidth="1"/>
    <col min="13100" max="13100" width="11.85546875" customWidth="1"/>
    <col min="13101" max="13101" width="15.42578125" customWidth="1"/>
    <col min="13102" max="13102" width="15.140625" customWidth="1"/>
    <col min="13103" max="13106" width="15.42578125" customWidth="1"/>
    <col min="13108" max="13108" width="11.42578125" customWidth="1"/>
    <col min="13109" max="13109" width="11.140625" customWidth="1"/>
    <col min="13110" max="13110" width="9.85546875" customWidth="1"/>
    <col min="13116" max="13116" width="10.42578125" customWidth="1"/>
    <col min="13123" max="13123" width="15" customWidth="1"/>
    <col min="13129" max="13130" width="11.140625" customWidth="1"/>
    <col min="13131" max="13131" width="12" customWidth="1"/>
    <col min="13132" max="13132" width="11.140625" customWidth="1"/>
    <col min="13133" max="13133" width="15.42578125" customWidth="1"/>
    <col min="13135" max="13135" width="10.7109375" customWidth="1"/>
    <col min="13313" max="13313" width="16.42578125" customWidth="1"/>
    <col min="13319" max="13319" width="10.7109375" customWidth="1"/>
    <col min="13322" max="13322" width="12.7109375" customWidth="1"/>
    <col min="13323" max="13323" width="14" customWidth="1"/>
    <col min="13325" max="13325" width="10.140625" customWidth="1"/>
    <col min="13326" max="13326" width="12.42578125" customWidth="1"/>
    <col min="13327" max="13327" width="11.85546875" customWidth="1"/>
    <col min="13332" max="13332" width="15.140625" customWidth="1"/>
    <col min="13333" max="13333" width="10.140625" customWidth="1"/>
    <col min="13334" max="13334" width="10.42578125" customWidth="1"/>
    <col min="13335" max="13335" width="13.28515625" customWidth="1"/>
    <col min="13336" max="13336" width="12.85546875" bestFit="1" customWidth="1"/>
    <col min="13337" max="13337" width="13.85546875" customWidth="1"/>
    <col min="13338" max="13338" width="12.140625" customWidth="1"/>
    <col min="13345" max="13345" width="13.85546875" customWidth="1"/>
    <col min="13350" max="13350" width="13.5703125" customWidth="1"/>
    <col min="13351" max="13351" width="12.42578125" bestFit="1" customWidth="1"/>
    <col min="13352" max="13352" width="16.42578125" customWidth="1"/>
    <col min="13353" max="13353" width="11.5703125" customWidth="1"/>
    <col min="13354" max="13354" width="11.140625" customWidth="1"/>
    <col min="13355" max="13355" width="12.140625" customWidth="1"/>
    <col min="13356" max="13356" width="11.85546875" customWidth="1"/>
    <col min="13357" max="13357" width="15.42578125" customWidth="1"/>
    <col min="13358" max="13358" width="15.140625" customWidth="1"/>
    <col min="13359" max="13362" width="15.42578125" customWidth="1"/>
    <col min="13364" max="13364" width="11.42578125" customWidth="1"/>
    <col min="13365" max="13365" width="11.140625" customWidth="1"/>
    <col min="13366" max="13366" width="9.85546875" customWidth="1"/>
    <col min="13372" max="13372" width="10.42578125" customWidth="1"/>
    <col min="13379" max="13379" width="15" customWidth="1"/>
    <col min="13385" max="13386" width="11.140625" customWidth="1"/>
    <col min="13387" max="13387" width="12" customWidth="1"/>
    <col min="13388" max="13388" width="11.140625" customWidth="1"/>
    <col min="13389" max="13389" width="15.42578125" customWidth="1"/>
    <col min="13391" max="13391" width="10.7109375" customWidth="1"/>
    <col min="13569" max="13569" width="16.42578125" customWidth="1"/>
    <col min="13575" max="13575" width="10.7109375" customWidth="1"/>
    <col min="13578" max="13578" width="12.7109375" customWidth="1"/>
    <col min="13579" max="13579" width="14" customWidth="1"/>
    <col min="13581" max="13581" width="10.140625" customWidth="1"/>
    <col min="13582" max="13582" width="12.42578125" customWidth="1"/>
    <col min="13583" max="13583" width="11.85546875" customWidth="1"/>
    <col min="13588" max="13588" width="15.140625" customWidth="1"/>
    <col min="13589" max="13589" width="10.140625" customWidth="1"/>
    <col min="13590" max="13590" width="10.42578125" customWidth="1"/>
    <col min="13591" max="13591" width="13.28515625" customWidth="1"/>
    <col min="13592" max="13592" width="12.85546875" bestFit="1" customWidth="1"/>
    <col min="13593" max="13593" width="13.85546875" customWidth="1"/>
    <col min="13594" max="13594" width="12.140625" customWidth="1"/>
    <col min="13601" max="13601" width="13.85546875" customWidth="1"/>
    <col min="13606" max="13606" width="13.5703125" customWidth="1"/>
    <col min="13607" max="13607" width="12.42578125" bestFit="1" customWidth="1"/>
    <col min="13608" max="13608" width="16.42578125" customWidth="1"/>
    <col min="13609" max="13609" width="11.5703125" customWidth="1"/>
    <col min="13610" max="13610" width="11.140625" customWidth="1"/>
    <col min="13611" max="13611" width="12.140625" customWidth="1"/>
    <col min="13612" max="13612" width="11.85546875" customWidth="1"/>
    <col min="13613" max="13613" width="15.42578125" customWidth="1"/>
    <col min="13614" max="13614" width="15.140625" customWidth="1"/>
    <col min="13615" max="13618" width="15.42578125" customWidth="1"/>
    <col min="13620" max="13620" width="11.42578125" customWidth="1"/>
    <col min="13621" max="13621" width="11.140625" customWidth="1"/>
    <col min="13622" max="13622" width="9.85546875" customWidth="1"/>
    <col min="13628" max="13628" width="10.42578125" customWidth="1"/>
    <col min="13635" max="13635" width="15" customWidth="1"/>
    <col min="13641" max="13642" width="11.140625" customWidth="1"/>
    <col min="13643" max="13643" width="12" customWidth="1"/>
    <col min="13644" max="13644" width="11.140625" customWidth="1"/>
    <col min="13645" max="13645" width="15.42578125" customWidth="1"/>
    <col min="13647" max="13647" width="10.7109375" customWidth="1"/>
    <col min="13825" max="13825" width="16.42578125" customWidth="1"/>
    <col min="13831" max="13831" width="10.7109375" customWidth="1"/>
    <col min="13834" max="13834" width="12.7109375" customWidth="1"/>
    <col min="13835" max="13835" width="14" customWidth="1"/>
    <col min="13837" max="13837" width="10.140625" customWidth="1"/>
    <col min="13838" max="13838" width="12.42578125" customWidth="1"/>
    <col min="13839" max="13839" width="11.85546875" customWidth="1"/>
    <col min="13844" max="13844" width="15.140625" customWidth="1"/>
    <col min="13845" max="13845" width="10.140625" customWidth="1"/>
    <col min="13846" max="13846" width="10.42578125" customWidth="1"/>
    <col min="13847" max="13847" width="13.28515625" customWidth="1"/>
    <col min="13848" max="13848" width="12.85546875" bestFit="1" customWidth="1"/>
    <col min="13849" max="13849" width="13.85546875" customWidth="1"/>
    <col min="13850" max="13850" width="12.140625" customWidth="1"/>
    <col min="13857" max="13857" width="13.85546875" customWidth="1"/>
    <col min="13862" max="13862" width="13.5703125" customWidth="1"/>
    <col min="13863" max="13863" width="12.42578125" bestFit="1" customWidth="1"/>
    <col min="13864" max="13864" width="16.42578125" customWidth="1"/>
    <col min="13865" max="13865" width="11.5703125" customWidth="1"/>
    <col min="13866" max="13866" width="11.140625" customWidth="1"/>
    <col min="13867" max="13867" width="12.140625" customWidth="1"/>
    <col min="13868" max="13868" width="11.85546875" customWidth="1"/>
    <col min="13869" max="13869" width="15.42578125" customWidth="1"/>
    <col min="13870" max="13870" width="15.140625" customWidth="1"/>
    <col min="13871" max="13874" width="15.42578125" customWidth="1"/>
    <col min="13876" max="13876" width="11.42578125" customWidth="1"/>
    <col min="13877" max="13877" width="11.140625" customWidth="1"/>
    <col min="13878" max="13878" width="9.85546875" customWidth="1"/>
    <col min="13884" max="13884" width="10.42578125" customWidth="1"/>
    <col min="13891" max="13891" width="15" customWidth="1"/>
    <col min="13897" max="13898" width="11.140625" customWidth="1"/>
    <col min="13899" max="13899" width="12" customWidth="1"/>
    <col min="13900" max="13900" width="11.140625" customWidth="1"/>
    <col min="13901" max="13901" width="15.42578125" customWidth="1"/>
    <col min="13903" max="13903" width="10.7109375" customWidth="1"/>
    <col min="14081" max="14081" width="16.42578125" customWidth="1"/>
    <col min="14087" max="14087" width="10.7109375" customWidth="1"/>
    <col min="14090" max="14090" width="12.7109375" customWidth="1"/>
    <col min="14091" max="14091" width="14" customWidth="1"/>
    <col min="14093" max="14093" width="10.140625" customWidth="1"/>
    <col min="14094" max="14094" width="12.42578125" customWidth="1"/>
    <col min="14095" max="14095" width="11.85546875" customWidth="1"/>
    <col min="14100" max="14100" width="15.140625" customWidth="1"/>
    <col min="14101" max="14101" width="10.140625" customWidth="1"/>
    <col min="14102" max="14102" width="10.42578125" customWidth="1"/>
    <col min="14103" max="14103" width="13.28515625" customWidth="1"/>
    <col min="14104" max="14104" width="12.85546875" bestFit="1" customWidth="1"/>
    <col min="14105" max="14105" width="13.85546875" customWidth="1"/>
    <col min="14106" max="14106" width="12.140625" customWidth="1"/>
    <col min="14113" max="14113" width="13.85546875" customWidth="1"/>
    <col min="14118" max="14118" width="13.5703125" customWidth="1"/>
    <col min="14119" max="14119" width="12.42578125" bestFit="1" customWidth="1"/>
    <col min="14120" max="14120" width="16.42578125" customWidth="1"/>
    <col min="14121" max="14121" width="11.5703125" customWidth="1"/>
    <col min="14122" max="14122" width="11.140625" customWidth="1"/>
    <col min="14123" max="14123" width="12.140625" customWidth="1"/>
    <col min="14124" max="14124" width="11.85546875" customWidth="1"/>
    <col min="14125" max="14125" width="15.42578125" customWidth="1"/>
    <col min="14126" max="14126" width="15.140625" customWidth="1"/>
    <col min="14127" max="14130" width="15.42578125" customWidth="1"/>
    <col min="14132" max="14132" width="11.42578125" customWidth="1"/>
    <col min="14133" max="14133" width="11.140625" customWidth="1"/>
    <col min="14134" max="14134" width="9.85546875" customWidth="1"/>
    <col min="14140" max="14140" width="10.42578125" customWidth="1"/>
    <col min="14147" max="14147" width="15" customWidth="1"/>
    <col min="14153" max="14154" width="11.140625" customWidth="1"/>
    <col min="14155" max="14155" width="12" customWidth="1"/>
    <col min="14156" max="14156" width="11.140625" customWidth="1"/>
    <col min="14157" max="14157" width="15.42578125" customWidth="1"/>
    <col min="14159" max="14159" width="10.7109375" customWidth="1"/>
    <col min="14337" max="14337" width="16.42578125" customWidth="1"/>
    <col min="14343" max="14343" width="10.7109375" customWidth="1"/>
    <col min="14346" max="14346" width="12.7109375" customWidth="1"/>
    <col min="14347" max="14347" width="14" customWidth="1"/>
    <col min="14349" max="14349" width="10.140625" customWidth="1"/>
    <col min="14350" max="14350" width="12.42578125" customWidth="1"/>
    <col min="14351" max="14351" width="11.85546875" customWidth="1"/>
    <col min="14356" max="14356" width="15.140625" customWidth="1"/>
    <col min="14357" max="14357" width="10.140625" customWidth="1"/>
    <col min="14358" max="14358" width="10.42578125" customWidth="1"/>
    <col min="14359" max="14359" width="13.28515625" customWidth="1"/>
    <col min="14360" max="14360" width="12.85546875" bestFit="1" customWidth="1"/>
    <col min="14361" max="14361" width="13.85546875" customWidth="1"/>
    <col min="14362" max="14362" width="12.140625" customWidth="1"/>
    <col min="14369" max="14369" width="13.85546875" customWidth="1"/>
    <col min="14374" max="14374" width="13.5703125" customWidth="1"/>
    <col min="14375" max="14375" width="12.42578125" bestFit="1" customWidth="1"/>
    <col min="14376" max="14376" width="16.42578125" customWidth="1"/>
    <col min="14377" max="14377" width="11.5703125" customWidth="1"/>
    <col min="14378" max="14378" width="11.140625" customWidth="1"/>
    <col min="14379" max="14379" width="12.140625" customWidth="1"/>
    <col min="14380" max="14380" width="11.85546875" customWidth="1"/>
    <col min="14381" max="14381" width="15.42578125" customWidth="1"/>
    <col min="14382" max="14382" width="15.140625" customWidth="1"/>
    <col min="14383" max="14386" width="15.42578125" customWidth="1"/>
    <col min="14388" max="14388" width="11.42578125" customWidth="1"/>
    <col min="14389" max="14389" width="11.140625" customWidth="1"/>
    <col min="14390" max="14390" width="9.85546875" customWidth="1"/>
    <col min="14396" max="14396" width="10.42578125" customWidth="1"/>
    <col min="14403" max="14403" width="15" customWidth="1"/>
    <col min="14409" max="14410" width="11.140625" customWidth="1"/>
    <col min="14411" max="14411" width="12" customWidth="1"/>
    <col min="14412" max="14412" width="11.140625" customWidth="1"/>
    <col min="14413" max="14413" width="15.42578125" customWidth="1"/>
    <col min="14415" max="14415" width="10.7109375" customWidth="1"/>
    <col min="14593" max="14593" width="16.42578125" customWidth="1"/>
    <col min="14599" max="14599" width="10.7109375" customWidth="1"/>
    <col min="14602" max="14602" width="12.7109375" customWidth="1"/>
    <col min="14603" max="14603" width="14" customWidth="1"/>
    <col min="14605" max="14605" width="10.140625" customWidth="1"/>
    <col min="14606" max="14606" width="12.42578125" customWidth="1"/>
    <col min="14607" max="14607" width="11.85546875" customWidth="1"/>
    <col min="14612" max="14612" width="15.140625" customWidth="1"/>
    <col min="14613" max="14613" width="10.140625" customWidth="1"/>
    <col min="14614" max="14614" width="10.42578125" customWidth="1"/>
    <col min="14615" max="14615" width="13.28515625" customWidth="1"/>
    <col min="14616" max="14616" width="12.85546875" bestFit="1" customWidth="1"/>
    <col min="14617" max="14617" width="13.85546875" customWidth="1"/>
    <col min="14618" max="14618" width="12.140625" customWidth="1"/>
    <col min="14625" max="14625" width="13.85546875" customWidth="1"/>
    <col min="14630" max="14630" width="13.5703125" customWidth="1"/>
    <col min="14631" max="14631" width="12.42578125" bestFit="1" customWidth="1"/>
    <col min="14632" max="14632" width="16.42578125" customWidth="1"/>
    <col min="14633" max="14633" width="11.5703125" customWidth="1"/>
    <col min="14634" max="14634" width="11.140625" customWidth="1"/>
    <col min="14635" max="14635" width="12.140625" customWidth="1"/>
    <col min="14636" max="14636" width="11.85546875" customWidth="1"/>
    <col min="14637" max="14637" width="15.42578125" customWidth="1"/>
    <col min="14638" max="14638" width="15.140625" customWidth="1"/>
    <col min="14639" max="14642" width="15.42578125" customWidth="1"/>
    <col min="14644" max="14644" width="11.42578125" customWidth="1"/>
    <col min="14645" max="14645" width="11.140625" customWidth="1"/>
    <col min="14646" max="14646" width="9.85546875" customWidth="1"/>
    <col min="14652" max="14652" width="10.42578125" customWidth="1"/>
    <col min="14659" max="14659" width="15" customWidth="1"/>
    <col min="14665" max="14666" width="11.140625" customWidth="1"/>
    <col min="14667" max="14667" width="12" customWidth="1"/>
    <col min="14668" max="14668" width="11.140625" customWidth="1"/>
    <col min="14669" max="14669" width="15.42578125" customWidth="1"/>
    <col min="14671" max="14671" width="10.7109375" customWidth="1"/>
    <col min="14849" max="14849" width="16.42578125" customWidth="1"/>
    <col min="14855" max="14855" width="10.7109375" customWidth="1"/>
    <col min="14858" max="14858" width="12.7109375" customWidth="1"/>
    <col min="14859" max="14859" width="14" customWidth="1"/>
    <col min="14861" max="14861" width="10.140625" customWidth="1"/>
    <col min="14862" max="14862" width="12.42578125" customWidth="1"/>
    <col min="14863" max="14863" width="11.85546875" customWidth="1"/>
    <col min="14868" max="14868" width="15.140625" customWidth="1"/>
    <col min="14869" max="14869" width="10.140625" customWidth="1"/>
    <col min="14870" max="14870" width="10.42578125" customWidth="1"/>
    <col min="14871" max="14871" width="13.28515625" customWidth="1"/>
    <col min="14872" max="14872" width="12.85546875" bestFit="1" customWidth="1"/>
    <col min="14873" max="14873" width="13.85546875" customWidth="1"/>
    <col min="14874" max="14874" width="12.140625" customWidth="1"/>
    <col min="14881" max="14881" width="13.85546875" customWidth="1"/>
    <col min="14886" max="14886" width="13.5703125" customWidth="1"/>
    <col min="14887" max="14887" width="12.42578125" bestFit="1" customWidth="1"/>
    <col min="14888" max="14888" width="16.42578125" customWidth="1"/>
    <col min="14889" max="14889" width="11.5703125" customWidth="1"/>
    <col min="14890" max="14890" width="11.140625" customWidth="1"/>
    <col min="14891" max="14891" width="12.140625" customWidth="1"/>
    <col min="14892" max="14892" width="11.85546875" customWidth="1"/>
    <col min="14893" max="14893" width="15.42578125" customWidth="1"/>
    <col min="14894" max="14894" width="15.140625" customWidth="1"/>
    <col min="14895" max="14898" width="15.42578125" customWidth="1"/>
    <col min="14900" max="14900" width="11.42578125" customWidth="1"/>
    <col min="14901" max="14901" width="11.140625" customWidth="1"/>
    <col min="14902" max="14902" width="9.85546875" customWidth="1"/>
    <col min="14908" max="14908" width="10.42578125" customWidth="1"/>
    <col min="14915" max="14915" width="15" customWidth="1"/>
    <col min="14921" max="14922" width="11.140625" customWidth="1"/>
    <col min="14923" max="14923" width="12" customWidth="1"/>
    <col min="14924" max="14924" width="11.140625" customWidth="1"/>
    <col min="14925" max="14925" width="15.42578125" customWidth="1"/>
    <col min="14927" max="14927" width="10.7109375" customWidth="1"/>
    <col min="15105" max="15105" width="16.42578125" customWidth="1"/>
    <col min="15111" max="15111" width="10.7109375" customWidth="1"/>
    <col min="15114" max="15114" width="12.7109375" customWidth="1"/>
    <col min="15115" max="15115" width="14" customWidth="1"/>
    <col min="15117" max="15117" width="10.140625" customWidth="1"/>
    <col min="15118" max="15118" width="12.42578125" customWidth="1"/>
    <col min="15119" max="15119" width="11.85546875" customWidth="1"/>
    <col min="15124" max="15124" width="15.140625" customWidth="1"/>
    <col min="15125" max="15125" width="10.140625" customWidth="1"/>
    <col min="15126" max="15126" width="10.42578125" customWidth="1"/>
    <col min="15127" max="15127" width="13.28515625" customWidth="1"/>
    <col min="15128" max="15128" width="12.85546875" bestFit="1" customWidth="1"/>
    <col min="15129" max="15129" width="13.85546875" customWidth="1"/>
    <col min="15130" max="15130" width="12.140625" customWidth="1"/>
    <col min="15137" max="15137" width="13.85546875" customWidth="1"/>
    <col min="15142" max="15142" width="13.5703125" customWidth="1"/>
    <col min="15143" max="15143" width="12.42578125" bestFit="1" customWidth="1"/>
    <col min="15144" max="15144" width="16.42578125" customWidth="1"/>
    <col min="15145" max="15145" width="11.5703125" customWidth="1"/>
    <col min="15146" max="15146" width="11.140625" customWidth="1"/>
    <col min="15147" max="15147" width="12.140625" customWidth="1"/>
    <col min="15148" max="15148" width="11.85546875" customWidth="1"/>
    <col min="15149" max="15149" width="15.42578125" customWidth="1"/>
    <col min="15150" max="15150" width="15.140625" customWidth="1"/>
    <col min="15151" max="15154" width="15.42578125" customWidth="1"/>
    <col min="15156" max="15156" width="11.42578125" customWidth="1"/>
    <col min="15157" max="15157" width="11.140625" customWidth="1"/>
    <col min="15158" max="15158" width="9.85546875" customWidth="1"/>
    <col min="15164" max="15164" width="10.42578125" customWidth="1"/>
    <col min="15171" max="15171" width="15" customWidth="1"/>
    <col min="15177" max="15178" width="11.140625" customWidth="1"/>
    <col min="15179" max="15179" width="12" customWidth="1"/>
    <col min="15180" max="15180" width="11.140625" customWidth="1"/>
    <col min="15181" max="15181" width="15.42578125" customWidth="1"/>
    <col min="15183" max="15183" width="10.7109375" customWidth="1"/>
    <col min="15361" max="15361" width="16.42578125" customWidth="1"/>
    <col min="15367" max="15367" width="10.7109375" customWidth="1"/>
    <col min="15370" max="15370" width="12.7109375" customWidth="1"/>
    <col min="15371" max="15371" width="14" customWidth="1"/>
    <col min="15373" max="15373" width="10.140625" customWidth="1"/>
    <col min="15374" max="15374" width="12.42578125" customWidth="1"/>
    <col min="15375" max="15375" width="11.85546875" customWidth="1"/>
    <col min="15380" max="15380" width="15.140625" customWidth="1"/>
    <col min="15381" max="15381" width="10.140625" customWidth="1"/>
    <col min="15382" max="15382" width="10.42578125" customWidth="1"/>
    <col min="15383" max="15383" width="13.28515625" customWidth="1"/>
    <col min="15384" max="15384" width="12.85546875" bestFit="1" customWidth="1"/>
    <col min="15385" max="15385" width="13.85546875" customWidth="1"/>
    <col min="15386" max="15386" width="12.140625" customWidth="1"/>
    <col min="15393" max="15393" width="13.85546875" customWidth="1"/>
    <col min="15398" max="15398" width="13.5703125" customWidth="1"/>
    <col min="15399" max="15399" width="12.42578125" bestFit="1" customWidth="1"/>
    <col min="15400" max="15400" width="16.42578125" customWidth="1"/>
    <col min="15401" max="15401" width="11.5703125" customWidth="1"/>
    <col min="15402" max="15402" width="11.140625" customWidth="1"/>
    <col min="15403" max="15403" width="12.140625" customWidth="1"/>
    <col min="15404" max="15404" width="11.85546875" customWidth="1"/>
    <col min="15405" max="15405" width="15.42578125" customWidth="1"/>
    <col min="15406" max="15406" width="15.140625" customWidth="1"/>
    <col min="15407" max="15410" width="15.42578125" customWidth="1"/>
    <col min="15412" max="15412" width="11.42578125" customWidth="1"/>
    <col min="15413" max="15413" width="11.140625" customWidth="1"/>
    <col min="15414" max="15414" width="9.85546875" customWidth="1"/>
    <col min="15420" max="15420" width="10.42578125" customWidth="1"/>
    <col min="15427" max="15427" width="15" customWidth="1"/>
    <col min="15433" max="15434" width="11.140625" customWidth="1"/>
    <col min="15435" max="15435" width="12" customWidth="1"/>
    <col min="15436" max="15436" width="11.140625" customWidth="1"/>
    <col min="15437" max="15437" width="15.42578125" customWidth="1"/>
    <col min="15439" max="15439" width="10.7109375" customWidth="1"/>
    <col min="15617" max="15617" width="16.42578125" customWidth="1"/>
    <col min="15623" max="15623" width="10.7109375" customWidth="1"/>
    <col min="15626" max="15626" width="12.7109375" customWidth="1"/>
    <col min="15627" max="15627" width="14" customWidth="1"/>
    <col min="15629" max="15629" width="10.140625" customWidth="1"/>
    <col min="15630" max="15630" width="12.42578125" customWidth="1"/>
    <col min="15631" max="15631" width="11.85546875" customWidth="1"/>
    <col min="15636" max="15636" width="15.140625" customWidth="1"/>
    <col min="15637" max="15637" width="10.140625" customWidth="1"/>
    <col min="15638" max="15638" width="10.42578125" customWidth="1"/>
    <col min="15639" max="15639" width="13.28515625" customWidth="1"/>
    <col min="15640" max="15640" width="12.85546875" bestFit="1" customWidth="1"/>
    <col min="15641" max="15641" width="13.85546875" customWidth="1"/>
    <col min="15642" max="15642" width="12.140625" customWidth="1"/>
    <col min="15649" max="15649" width="13.85546875" customWidth="1"/>
    <col min="15654" max="15654" width="13.5703125" customWidth="1"/>
    <col min="15655" max="15655" width="12.42578125" bestFit="1" customWidth="1"/>
    <col min="15656" max="15656" width="16.42578125" customWidth="1"/>
    <col min="15657" max="15657" width="11.5703125" customWidth="1"/>
    <col min="15658" max="15658" width="11.140625" customWidth="1"/>
    <col min="15659" max="15659" width="12.140625" customWidth="1"/>
    <col min="15660" max="15660" width="11.85546875" customWidth="1"/>
    <col min="15661" max="15661" width="15.42578125" customWidth="1"/>
    <col min="15662" max="15662" width="15.140625" customWidth="1"/>
    <col min="15663" max="15666" width="15.42578125" customWidth="1"/>
    <col min="15668" max="15668" width="11.42578125" customWidth="1"/>
    <col min="15669" max="15669" width="11.140625" customWidth="1"/>
    <col min="15670" max="15670" width="9.85546875" customWidth="1"/>
    <col min="15676" max="15676" width="10.42578125" customWidth="1"/>
    <col min="15683" max="15683" width="15" customWidth="1"/>
    <col min="15689" max="15690" width="11.140625" customWidth="1"/>
    <col min="15691" max="15691" width="12" customWidth="1"/>
    <col min="15692" max="15692" width="11.140625" customWidth="1"/>
    <col min="15693" max="15693" width="15.42578125" customWidth="1"/>
    <col min="15695" max="15695" width="10.7109375" customWidth="1"/>
    <col min="15873" max="15873" width="16.42578125" customWidth="1"/>
    <col min="15879" max="15879" width="10.7109375" customWidth="1"/>
    <col min="15882" max="15882" width="12.7109375" customWidth="1"/>
    <col min="15883" max="15883" width="14" customWidth="1"/>
    <col min="15885" max="15885" width="10.140625" customWidth="1"/>
    <col min="15886" max="15886" width="12.42578125" customWidth="1"/>
    <col min="15887" max="15887" width="11.85546875" customWidth="1"/>
    <col min="15892" max="15892" width="15.140625" customWidth="1"/>
    <col min="15893" max="15893" width="10.140625" customWidth="1"/>
    <col min="15894" max="15894" width="10.42578125" customWidth="1"/>
    <col min="15895" max="15895" width="13.28515625" customWidth="1"/>
    <col min="15896" max="15896" width="12.85546875" bestFit="1" customWidth="1"/>
    <col min="15897" max="15897" width="13.85546875" customWidth="1"/>
    <col min="15898" max="15898" width="12.140625" customWidth="1"/>
    <col min="15905" max="15905" width="13.85546875" customWidth="1"/>
    <col min="15910" max="15910" width="13.5703125" customWidth="1"/>
    <col min="15911" max="15911" width="12.42578125" bestFit="1" customWidth="1"/>
    <col min="15912" max="15912" width="16.42578125" customWidth="1"/>
    <col min="15913" max="15913" width="11.5703125" customWidth="1"/>
    <col min="15914" max="15914" width="11.140625" customWidth="1"/>
    <col min="15915" max="15915" width="12.140625" customWidth="1"/>
    <col min="15916" max="15916" width="11.85546875" customWidth="1"/>
    <col min="15917" max="15917" width="15.42578125" customWidth="1"/>
    <col min="15918" max="15918" width="15.140625" customWidth="1"/>
    <col min="15919" max="15922" width="15.42578125" customWidth="1"/>
    <col min="15924" max="15924" width="11.42578125" customWidth="1"/>
    <col min="15925" max="15925" width="11.140625" customWidth="1"/>
    <col min="15926" max="15926" width="9.85546875" customWidth="1"/>
    <col min="15932" max="15932" width="10.42578125" customWidth="1"/>
    <col min="15939" max="15939" width="15" customWidth="1"/>
    <col min="15945" max="15946" width="11.140625" customWidth="1"/>
    <col min="15947" max="15947" width="12" customWidth="1"/>
    <col min="15948" max="15948" width="11.140625" customWidth="1"/>
    <col min="15949" max="15949" width="15.42578125" customWidth="1"/>
    <col min="15951" max="15951" width="10.7109375" customWidth="1"/>
    <col min="16129" max="16129" width="16.42578125" customWidth="1"/>
    <col min="16135" max="16135" width="10.7109375" customWidth="1"/>
    <col min="16138" max="16138" width="12.7109375" customWidth="1"/>
    <col min="16139" max="16139" width="14" customWidth="1"/>
    <col min="16141" max="16141" width="10.140625" customWidth="1"/>
    <col min="16142" max="16142" width="12.42578125" customWidth="1"/>
    <col min="16143" max="16143" width="11.85546875" customWidth="1"/>
    <col min="16148" max="16148" width="15.140625" customWidth="1"/>
    <col min="16149" max="16149" width="10.140625" customWidth="1"/>
    <col min="16150" max="16150" width="10.42578125" customWidth="1"/>
    <col min="16151" max="16151" width="13.28515625" customWidth="1"/>
    <col min="16152" max="16152" width="12.85546875" bestFit="1" customWidth="1"/>
    <col min="16153" max="16153" width="13.85546875" customWidth="1"/>
    <col min="16154" max="16154" width="12.140625" customWidth="1"/>
    <col min="16161" max="16161" width="13.85546875" customWidth="1"/>
    <col min="16166" max="16166" width="13.5703125" customWidth="1"/>
    <col min="16167" max="16167" width="12.42578125" bestFit="1" customWidth="1"/>
    <col min="16168" max="16168" width="16.42578125" customWidth="1"/>
    <col min="16169" max="16169" width="11.5703125" customWidth="1"/>
    <col min="16170" max="16170" width="11.140625" customWidth="1"/>
    <col min="16171" max="16171" width="12.140625" customWidth="1"/>
    <col min="16172" max="16172" width="11.85546875" customWidth="1"/>
    <col min="16173" max="16173" width="15.42578125" customWidth="1"/>
    <col min="16174" max="16174" width="15.140625" customWidth="1"/>
    <col min="16175" max="16178" width="15.42578125" customWidth="1"/>
    <col min="16180" max="16180" width="11.42578125" customWidth="1"/>
    <col min="16181" max="16181" width="11.140625" customWidth="1"/>
    <col min="16182" max="16182" width="9.85546875" customWidth="1"/>
    <col min="16188" max="16188" width="10.42578125" customWidth="1"/>
    <col min="16195" max="16195" width="15" customWidth="1"/>
    <col min="16201" max="16202" width="11.140625" customWidth="1"/>
    <col min="16203" max="16203" width="12" customWidth="1"/>
    <col min="16204" max="16204" width="11.140625" customWidth="1"/>
    <col min="16205" max="16205" width="15.42578125" customWidth="1"/>
    <col min="16207" max="16207" width="10.7109375" customWidth="1"/>
  </cols>
  <sheetData>
    <row r="1" spans="1:80" s="60" customFormat="1" ht="78" thickBot="1" x14ac:dyDescent="0.3">
      <c r="A1" s="107" t="s">
        <v>546</v>
      </c>
      <c r="B1" s="107" t="s">
        <v>547</v>
      </c>
      <c r="C1" s="107" t="s">
        <v>548</v>
      </c>
      <c r="D1" s="107" t="s">
        <v>549</v>
      </c>
      <c r="E1" s="107" t="s">
        <v>550</v>
      </c>
      <c r="F1" s="127" t="s">
        <v>551</v>
      </c>
      <c r="G1" s="108" t="s">
        <v>552</v>
      </c>
      <c r="H1" s="127" t="s">
        <v>553</v>
      </c>
      <c r="I1" s="127" t="s">
        <v>554</v>
      </c>
      <c r="J1" s="108" t="s">
        <v>555</v>
      </c>
      <c r="K1" s="108" t="s">
        <v>556</v>
      </c>
      <c r="L1" s="108" t="s">
        <v>557</v>
      </c>
      <c r="M1" s="108" t="s">
        <v>558</v>
      </c>
      <c r="N1" s="127" t="s">
        <v>559</v>
      </c>
      <c r="O1" s="108" t="s">
        <v>560</v>
      </c>
      <c r="P1" s="127" t="s">
        <v>561</v>
      </c>
      <c r="Q1" s="108" t="s">
        <v>562</v>
      </c>
      <c r="R1" s="108" t="s">
        <v>563</v>
      </c>
      <c r="S1" s="108" t="s">
        <v>564</v>
      </c>
      <c r="T1" s="127" t="s">
        <v>565</v>
      </c>
      <c r="U1" s="109" t="s">
        <v>566</v>
      </c>
      <c r="V1" s="109" t="s">
        <v>567</v>
      </c>
      <c r="W1" s="127" t="s">
        <v>568</v>
      </c>
      <c r="X1" s="127" t="s">
        <v>569</v>
      </c>
      <c r="Y1" s="108" t="s">
        <v>570</v>
      </c>
      <c r="Z1" s="127" t="s">
        <v>571</v>
      </c>
      <c r="AA1" s="127" t="s">
        <v>420</v>
      </c>
      <c r="AB1" s="127" t="s">
        <v>572</v>
      </c>
      <c r="AC1" s="127" t="s">
        <v>573</v>
      </c>
      <c r="AD1" s="127" t="s">
        <v>574</v>
      </c>
      <c r="AE1" s="127" t="s">
        <v>575</v>
      </c>
      <c r="AF1" s="127" t="s">
        <v>576</v>
      </c>
      <c r="AG1" s="127" t="s">
        <v>577</v>
      </c>
      <c r="AH1" s="127" t="s">
        <v>578</v>
      </c>
      <c r="AI1" s="127" t="s">
        <v>579</v>
      </c>
      <c r="AJ1" s="127" t="s">
        <v>11</v>
      </c>
      <c r="AK1" s="107" t="s">
        <v>580</v>
      </c>
      <c r="AL1" s="127" t="s">
        <v>581</v>
      </c>
      <c r="AM1" s="127" t="s">
        <v>468</v>
      </c>
      <c r="AN1" s="107" t="s">
        <v>582</v>
      </c>
      <c r="AO1" s="107" t="s">
        <v>583</v>
      </c>
      <c r="AP1" s="127" t="s">
        <v>584</v>
      </c>
      <c r="AQ1" s="127" t="s">
        <v>585</v>
      </c>
      <c r="AR1" s="108" t="s">
        <v>586</v>
      </c>
      <c r="AS1" s="108" t="s">
        <v>587</v>
      </c>
      <c r="AT1" s="108" t="s">
        <v>588</v>
      </c>
      <c r="AU1" s="107" t="s">
        <v>589</v>
      </c>
      <c r="AV1" s="107" t="s">
        <v>590</v>
      </c>
      <c r="AW1" s="108" t="s">
        <v>591</v>
      </c>
      <c r="AX1" s="108" t="s">
        <v>592</v>
      </c>
      <c r="AY1" s="127" t="s">
        <v>593</v>
      </c>
      <c r="AZ1" s="127" t="s">
        <v>594</v>
      </c>
      <c r="BA1" s="127" t="s">
        <v>595</v>
      </c>
      <c r="BB1" s="108" t="s">
        <v>596</v>
      </c>
      <c r="BC1" s="107" t="s">
        <v>597</v>
      </c>
      <c r="BD1" s="107" t="s">
        <v>598</v>
      </c>
      <c r="BE1" s="107" t="s">
        <v>599</v>
      </c>
      <c r="BF1" s="127" t="s">
        <v>600</v>
      </c>
      <c r="BG1" s="107" t="s">
        <v>601</v>
      </c>
      <c r="BH1" s="127" t="s">
        <v>602</v>
      </c>
      <c r="BI1" s="107" t="s">
        <v>603</v>
      </c>
      <c r="BJ1" s="107" t="s">
        <v>604</v>
      </c>
      <c r="BK1" s="127" t="s">
        <v>605</v>
      </c>
      <c r="BL1" s="108" t="s">
        <v>606</v>
      </c>
      <c r="BM1" s="108" t="s">
        <v>607</v>
      </c>
      <c r="BN1" s="127" t="s">
        <v>608</v>
      </c>
      <c r="BO1" s="127" t="s">
        <v>609</v>
      </c>
      <c r="BP1" s="127" t="s">
        <v>610</v>
      </c>
      <c r="BQ1" s="110" t="s">
        <v>611</v>
      </c>
      <c r="BR1" s="111" t="s">
        <v>612</v>
      </c>
      <c r="BS1" s="108" t="s">
        <v>613</v>
      </c>
      <c r="BT1" s="127" t="s">
        <v>418</v>
      </c>
      <c r="BU1" s="108" t="s">
        <v>614</v>
      </c>
      <c r="BV1" s="108" t="s">
        <v>615</v>
      </c>
      <c r="BW1" s="127" t="s">
        <v>616</v>
      </c>
      <c r="BX1" s="127" t="s">
        <v>617</v>
      </c>
      <c r="BY1" s="127" t="s">
        <v>618</v>
      </c>
      <c r="BZ1" s="127" t="s">
        <v>619</v>
      </c>
      <c r="CA1" s="107" t="s">
        <v>620</v>
      </c>
      <c r="CB1" s="108" t="s">
        <v>621</v>
      </c>
    </row>
    <row r="2" spans="1:80" x14ac:dyDescent="0.25">
      <c r="A2" t="e">
        <f>VLOOKUP($AK2,Lists!$R$3:$V$141,2,FALSE)</f>
        <v>#N/A</v>
      </c>
      <c r="B2" s="119" t="e">
        <f>VLOOKUP($AK2,Lists!$R$3:$V$141,3,FALSE)</f>
        <v>#N/A</v>
      </c>
      <c r="C2" s="119" t="e">
        <f>VLOOKUP($AK2,Lists!$R$3:$V$141,4,FALSE)</f>
        <v>#N/A</v>
      </c>
      <c r="D2" s="119" t="e">
        <f>VLOOKUP($AK2,Lists!$R$3:$V$141,5,FALSE)</f>
        <v>#N/A</v>
      </c>
      <c r="E2">
        <f>Summary!P3</f>
        <v>0</v>
      </c>
      <c r="F2" t="s">
        <v>649</v>
      </c>
      <c r="H2">
        <f>Summary!P5</f>
        <v>0</v>
      </c>
      <c r="I2">
        <f>Summary!P4</f>
        <v>0</v>
      </c>
      <c r="N2">
        <f>Summary!P4</f>
        <v>0</v>
      </c>
      <c r="P2">
        <f>Summary!P6</f>
        <v>0</v>
      </c>
      <c r="T2" s="137" t="str">
        <f>IF('BPA Approval Status'!V19=0,"",'BPA Approval Status'!V19)</f>
        <v/>
      </c>
      <c r="W2" s="137" t="str">
        <f>IF(Summary!P15=0,"",Summary!P15)</f>
        <v/>
      </c>
      <c r="X2" s="137" t="str">
        <f>IF(Summary!P13=0,"",Summary!P13)</f>
        <v/>
      </c>
      <c r="Z2" s="137">
        <f>Summary!P16</f>
        <v>0</v>
      </c>
      <c r="AA2">
        <f>Summary!P3</f>
        <v>0</v>
      </c>
      <c r="AB2" t="e">
        <f>A2</f>
        <v>#N/A</v>
      </c>
      <c r="AC2" s="119" t="e">
        <f t="shared" ref="AC2:AE2" si="0">B2</f>
        <v>#N/A</v>
      </c>
      <c r="AD2" s="119" t="e">
        <f t="shared" si="0"/>
        <v>#N/A</v>
      </c>
      <c r="AE2" s="119" t="e">
        <f t="shared" si="0"/>
        <v>#N/A</v>
      </c>
      <c r="AF2">
        <f>Summary!P7</f>
        <v>0</v>
      </c>
      <c r="AG2">
        <f>Summary!P8</f>
        <v>0</v>
      </c>
      <c r="AH2">
        <f>Summary!P10</f>
        <v>0</v>
      </c>
      <c r="AI2">
        <f>Summary!P9</f>
        <v>0</v>
      </c>
      <c r="AJ2">
        <f>Summary!P4</f>
        <v>0</v>
      </c>
      <c r="AK2" t="e">
        <f>VLOOKUP(E2,Lists!$P$2:$R$141,3,FALSE)</f>
        <v>#N/A</v>
      </c>
      <c r="AL2" s="132">
        <f>Summary!L45</f>
        <v>0</v>
      </c>
      <c r="AM2" s="137" t="str">
        <f>IF(Summary!P14=0,"",Summary!P14)</f>
        <v/>
      </c>
      <c r="AN2" t="s">
        <v>17</v>
      </c>
      <c r="AO2" s="125" t="e">
        <f>Summary!BA38</f>
        <v>#DIV/0!</v>
      </c>
      <c r="AP2">
        <v>0</v>
      </c>
      <c r="AQ2" s="125" t="e">
        <f>Summary!BB38</f>
        <v>#DIV/0!</v>
      </c>
      <c r="AU2" s="128">
        <f>Summary!AH38</f>
        <v>0</v>
      </c>
      <c r="AV2" s="128">
        <f>Summary!AN38</f>
        <v>0</v>
      </c>
      <c r="AW2">
        <v>0</v>
      </c>
      <c r="AY2" s="137" t="str">
        <f>IF('BPA Approval Status'!V19=0,"",'BPA Approval Status'!V19)</f>
        <v/>
      </c>
      <c r="AZ2">
        <f>'BPA Approval Status'!H19</f>
        <v>0</v>
      </c>
      <c r="BA2">
        <f>'BPA Approval Status'!H7</f>
        <v>0</v>
      </c>
      <c r="BC2" s="125">
        <f>Summary!P38</f>
        <v>0</v>
      </c>
      <c r="BD2" s="125">
        <f>Summary!V38</f>
        <v>0</v>
      </c>
      <c r="BE2" s="125" t="e">
        <f>BD2*AO2</f>
        <v>#DIV/0!</v>
      </c>
      <c r="BF2">
        <v>0</v>
      </c>
      <c r="BG2" s="125" t="e">
        <f>BD2*CA2</f>
        <v>#DIV/0!</v>
      </c>
      <c r="BH2">
        <f>SUM('Upload Build'!I2:I4)</f>
        <v>0</v>
      </c>
      <c r="BI2" s="128">
        <f>Summary!AB38</f>
        <v>0</v>
      </c>
      <c r="BJ2" s="128">
        <f>Summary!AB38</f>
        <v>0</v>
      </c>
      <c r="BK2" s="132" t="str">
        <f>Summary!K40</f>
        <v/>
      </c>
      <c r="BN2">
        <f>BJ2*0.7</f>
        <v>0</v>
      </c>
      <c r="BO2">
        <f>SUM('Upload Build'!F2:F4)</f>
        <v>0</v>
      </c>
      <c r="BP2">
        <f>IF(BN2&gt;BO2,BO2,BN2)</f>
        <v>0</v>
      </c>
      <c r="BT2" s="125">
        <f>Summary!AI7</f>
        <v>1.1100000000000001</v>
      </c>
      <c r="BU2" t="s">
        <v>421</v>
      </c>
      <c r="BW2" t="s">
        <v>657</v>
      </c>
      <c r="BX2">
        <v>0</v>
      </c>
      <c r="BY2">
        <v>0</v>
      </c>
      <c r="BZ2">
        <v>0</v>
      </c>
      <c r="CA2" s="125" t="e">
        <f>Summary!BB38</f>
        <v>#DIV/0!</v>
      </c>
    </row>
  </sheetData>
  <sheetProtection password="BD7D" sheet="1" objects="1" scenarios="1"/>
  <pageMargins left="0.7" right="0.7" top="0.75" bottom="0.75" header="0.3" footer="0.3"/>
  <pageSetup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sheetPr>
  <dimension ref="A1:IV102"/>
  <sheetViews>
    <sheetView workbookViewId="0">
      <selection activeCell="A2" sqref="A2"/>
    </sheetView>
  </sheetViews>
  <sheetFormatPr defaultRowHeight="12.75" x14ac:dyDescent="0.2"/>
  <cols>
    <col min="1" max="1" width="19.140625" style="98" customWidth="1"/>
    <col min="2" max="2" width="9.140625" style="98" customWidth="1"/>
    <col min="3" max="3" width="10.5703125" style="105" bestFit="1" customWidth="1"/>
    <col min="4" max="4" width="14.28515625" style="105" bestFit="1" customWidth="1"/>
    <col min="5" max="6" width="9.5703125" style="97" bestFit="1" customWidth="1"/>
    <col min="7" max="10" width="9.140625" style="105" customWidth="1"/>
    <col min="11" max="11" width="9.140625" style="106" customWidth="1"/>
    <col min="12" max="12" width="9.140625" style="99" customWidth="1"/>
    <col min="13" max="13" width="9.140625" style="106" customWidth="1"/>
    <col min="14" max="14" width="9.140625" style="99" customWidth="1"/>
    <col min="15" max="19" width="9.140625" style="106" customWidth="1"/>
    <col min="20" max="20" width="9.140625" style="99" customWidth="1"/>
    <col min="21" max="21" width="12.5703125" style="106" bestFit="1" customWidth="1"/>
    <col min="22" max="22" width="9.5703125" style="99" bestFit="1" customWidth="1"/>
    <col min="23" max="26" width="9.140625" style="106" customWidth="1"/>
    <col min="27" max="27" width="11.5703125" style="106" bestFit="1" customWidth="1"/>
    <col min="28" max="28" width="12.7109375" style="100" bestFit="1" customWidth="1"/>
    <col min="29" max="29" width="10.85546875" style="98" customWidth="1"/>
    <col min="30" max="256" width="9.140625" style="60"/>
    <col min="257" max="257" width="19.140625" style="60" customWidth="1"/>
    <col min="258" max="276" width="9.140625" style="60" customWidth="1"/>
    <col min="277" max="277" width="9.7109375" style="60" bestFit="1" customWidth="1"/>
    <col min="278" max="283" width="9.140625" style="60" customWidth="1"/>
    <col min="284" max="284" width="12.7109375" style="60" bestFit="1" customWidth="1"/>
    <col min="285" max="285" width="10.85546875" style="60" customWidth="1"/>
    <col min="286" max="512" width="9.140625" style="60"/>
    <col min="513" max="513" width="19.140625" style="60" customWidth="1"/>
    <col min="514" max="532" width="9.140625" style="60" customWidth="1"/>
    <col min="533" max="533" width="9.7109375" style="60" bestFit="1" customWidth="1"/>
    <col min="534" max="539" width="9.140625" style="60" customWidth="1"/>
    <col min="540" max="540" width="12.7109375" style="60" bestFit="1" customWidth="1"/>
    <col min="541" max="541" width="10.85546875" style="60" customWidth="1"/>
    <col min="542" max="768" width="9.140625" style="60"/>
    <col min="769" max="769" width="19.140625" style="60" customWidth="1"/>
    <col min="770" max="788" width="9.140625" style="60" customWidth="1"/>
    <col min="789" max="789" width="9.7109375" style="60" bestFit="1" customWidth="1"/>
    <col min="790" max="795" width="9.140625" style="60" customWidth="1"/>
    <col min="796" max="796" width="12.7109375" style="60" bestFit="1" customWidth="1"/>
    <col min="797" max="797" width="10.85546875" style="60" customWidth="1"/>
    <col min="798" max="1024" width="9.140625" style="60"/>
    <col min="1025" max="1025" width="19.140625" style="60" customWidth="1"/>
    <col min="1026" max="1044" width="9.140625" style="60" customWidth="1"/>
    <col min="1045" max="1045" width="9.7109375" style="60" bestFit="1" customWidth="1"/>
    <col min="1046" max="1051" width="9.140625" style="60" customWidth="1"/>
    <col min="1052" max="1052" width="12.7109375" style="60" bestFit="1" customWidth="1"/>
    <col min="1053" max="1053" width="10.85546875" style="60" customWidth="1"/>
    <col min="1054" max="1280" width="9.140625" style="60"/>
    <col min="1281" max="1281" width="19.140625" style="60" customWidth="1"/>
    <col min="1282" max="1300" width="9.140625" style="60" customWidth="1"/>
    <col min="1301" max="1301" width="9.7109375" style="60" bestFit="1" customWidth="1"/>
    <col min="1302" max="1307" width="9.140625" style="60" customWidth="1"/>
    <col min="1308" max="1308" width="12.7109375" style="60" bestFit="1" customWidth="1"/>
    <col min="1309" max="1309" width="10.85546875" style="60" customWidth="1"/>
    <col min="1310" max="1536" width="9.140625" style="60"/>
    <col min="1537" max="1537" width="19.140625" style="60" customWidth="1"/>
    <col min="1538" max="1556" width="9.140625" style="60" customWidth="1"/>
    <col min="1557" max="1557" width="9.7109375" style="60" bestFit="1" customWidth="1"/>
    <col min="1558" max="1563" width="9.140625" style="60" customWidth="1"/>
    <col min="1564" max="1564" width="12.7109375" style="60" bestFit="1" customWidth="1"/>
    <col min="1565" max="1565" width="10.85546875" style="60" customWidth="1"/>
    <col min="1566" max="1792" width="9.140625" style="60"/>
    <col min="1793" max="1793" width="19.140625" style="60" customWidth="1"/>
    <col min="1794" max="1812" width="9.140625" style="60" customWidth="1"/>
    <col min="1813" max="1813" width="9.7109375" style="60" bestFit="1" customWidth="1"/>
    <col min="1814" max="1819" width="9.140625" style="60" customWidth="1"/>
    <col min="1820" max="1820" width="12.7109375" style="60" bestFit="1" customWidth="1"/>
    <col min="1821" max="1821" width="10.85546875" style="60" customWidth="1"/>
    <col min="1822" max="2048" width="9.140625" style="60"/>
    <col min="2049" max="2049" width="19.140625" style="60" customWidth="1"/>
    <col min="2050" max="2068" width="9.140625" style="60" customWidth="1"/>
    <col min="2069" max="2069" width="9.7109375" style="60" bestFit="1" customWidth="1"/>
    <col min="2070" max="2075" width="9.140625" style="60" customWidth="1"/>
    <col min="2076" max="2076" width="12.7109375" style="60" bestFit="1" customWidth="1"/>
    <col min="2077" max="2077" width="10.85546875" style="60" customWidth="1"/>
    <col min="2078" max="2304" width="9.140625" style="60"/>
    <col min="2305" max="2305" width="19.140625" style="60" customWidth="1"/>
    <col min="2306" max="2324" width="9.140625" style="60" customWidth="1"/>
    <col min="2325" max="2325" width="9.7109375" style="60" bestFit="1" customWidth="1"/>
    <col min="2326" max="2331" width="9.140625" style="60" customWidth="1"/>
    <col min="2332" max="2332" width="12.7109375" style="60" bestFit="1" customWidth="1"/>
    <col min="2333" max="2333" width="10.85546875" style="60" customWidth="1"/>
    <col min="2334" max="2560" width="9.140625" style="60"/>
    <col min="2561" max="2561" width="19.140625" style="60" customWidth="1"/>
    <col min="2562" max="2580" width="9.140625" style="60" customWidth="1"/>
    <col min="2581" max="2581" width="9.7109375" style="60" bestFit="1" customWidth="1"/>
    <col min="2582" max="2587" width="9.140625" style="60" customWidth="1"/>
    <col min="2588" max="2588" width="12.7109375" style="60" bestFit="1" customWidth="1"/>
    <col min="2589" max="2589" width="10.85546875" style="60" customWidth="1"/>
    <col min="2590" max="2816" width="9.140625" style="60"/>
    <col min="2817" max="2817" width="19.140625" style="60" customWidth="1"/>
    <col min="2818" max="2836" width="9.140625" style="60" customWidth="1"/>
    <col min="2837" max="2837" width="9.7109375" style="60" bestFit="1" customWidth="1"/>
    <col min="2838" max="2843" width="9.140625" style="60" customWidth="1"/>
    <col min="2844" max="2844" width="12.7109375" style="60" bestFit="1" customWidth="1"/>
    <col min="2845" max="2845" width="10.85546875" style="60" customWidth="1"/>
    <col min="2846" max="3072" width="9.140625" style="60"/>
    <col min="3073" max="3073" width="19.140625" style="60" customWidth="1"/>
    <col min="3074" max="3092" width="9.140625" style="60" customWidth="1"/>
    <col min="3093" max="3093" width="9.7109375" style="60" bestFit="1" customWidth="1"/>
    <col min="3094" max="3099" width="9.140625" style="60" customWidth="1"/>
    <col min="3100" max="3100" width="12.7109375" style="60" bestFit="1" customWidth="1"/>
    <col min="3101" max="3101" width="10.85546875" style="60" customWidth="1"/>
    <col min="3102" max="3328" width="9.140625" style="60"/>
    <col min="3329" max="3329" width="19.140625" style="60" customWidth="1"/>
    <col min="3330" max="3348" width="9.140625" style="60" customWidth="1"/>
    <col min="3349" max="3349" width="9.7109375" style="60" bestFit="1" customWidth="1"/>
    <col min="3350" max="3355" width="9.140625" style="60" customWidth="1"/>
    <col min="3356" max="3356" width="12.7109375" style="60" bestFit="1" customWidth="1"/>
    <col min="3357" max="3357" width="10.85546875" style="60" customWidth="1"/>
    <col min="3358" max="3584" width="9.140625" style="60"/>
    <col min="3585" max="3585" width="19.140625" style="60" customWidth="1"/>
    <col min="3586" max="3604" width="9.140625" style="60" customWidth="1"/>
    <col min="3605" max="3605" width="9.7109375" style="60" bestFit="1" customWidth="1"/>
    <col min="3606" max="3611" width="9.140625" style="60" customWidth="1"/>
    <col min="3612" max="3612" width="12.7109375" style="60" bestFit="1" customWidth="1"/>
    <col min="3613" max="3613" width="10.85546875" style="60" customWidth="1"/>
    <col min="3614" max="3840" width="9.140625" style="60"/>
    <col min="3841" max="3841" width="19.140625" style="60" customWidth="1"/>
    <col min="3842" max="3860" width="9.140625" style="60" customWidth="1"/>
    <col min="3861" max="3861" width="9.7109375" style="60" bestFit="1" customWidth="1"/>
    <col min="3862" max="3867" width="9.140625" style="60" customWidth="1"/>
    <col min="3868" max="3868" width="12.7109375" style="60" bestFit="1" customWidth="1"/>
    <col min="3869" max="3869" width="10.85546875" style="60" customWidth="1"/>
    <col min="3870" max="4096" width="9.140625" style="60"/>
    <col min="4097" max="4097" width="19.140625" style="60" customWidth="1"/>
    <col min="4098" max="4116" width="9.140625" style="60" customWidth="1"/>
    <col min="4117" max="4117" width="9.7109375" style="60" bestFit="1" customWidth="1"/>
    <col min="4118" max="4123" width="9.140625" style="60" customWidth="1"/>
    <col min="4124" max="4124" width="12.7109375" style="60" bestFit="1" customWidth="1"/>
    <col min="4125" max="4125" width="10.85546875" style="60" customWidth="1"/>
    <col min="4126" max="4352" width="9.140625" style="60"/>
    <col min="4353" max="4353" width="19.140625" style="60" customWidth="1"/>
    <col min="4354" max="4372" width="9.140625" style="60" customWidth="1"/>
    <col min="4373" max="4373" width="9.7109375" style="60" bestFit="1" customWidth="1"/>
    <col min="4374" max="4379" width="9.140625" style="60" customWidth="1"/>
    <col min="4380" max="4380" width="12.7109375" style="60" bestFit="1" customWidth="1"/>
    <col min="4381" max="4381" width="10.85546875" style="60" customWidth="1"/>
    <col min="4382" max="4608" width="9.140625" style="60"/>
    <col min="4609" max="4609" width="19.140625" style="60" customWidth="1"/>
    <col min="4610" max="4628" width="9.140625" style="60" customWidth="1"/>
    <col min="4629" max="4629" width="9.7109375" style="60" bestFit="1" customWidth="1"/>
    <col min="4630" max="4635" width="9.140625" style="60" customWidth="1"/>
    <col min="4636" max="4636" width="12.7109375" style="60" bestFit="1" customWidth="1"/>
    <col min="4637" max="4637" width="10.85546875" style="60" customWidth="1"/>
    <col min="4638" max="4864" width="9.140625" style="60"/>
    <col min="4865" max="4865" width="19.140625" style="60" customWidth="1"/>
    <col min="4866" max="4884" width="9.140625" style="60" customWidth="1"/>
    <col min="4885" max="4885" width="9.7109375" style="60" bestFit="1" customWidth="1"/>
    <col min="4886" max="4891" width="9.140625" style="60" customWidth="1"/>
    <col min="4892" max="4892" width="12.7109375" style="60" bestFit="1" customWidth="1"/>
    <col min="4893" max="4893" width="10.85546875" style="60" customWidth="1"/>
    <col min="4894" max="5120" width="9.140625" style="60"/>
    <col min="5121" max="5121" width="19.140625" style="60" customWidth="1"/>
    <col min="5122" max="5140" width="9.140625" style="60" customWidth="1"/>
    <col min="5141" max="5141" width="9.7109375" style="60" bestFit="1" customWidth="1"/>
    <col min="5142" max="5147" width="9.140625" style="60" customWidth="1"/>
    <col min="5148" max="5148" width="12.7109375" style="60" bestFit="1" customWidth="1"/>
    <col min="5149" max="5149" width="10.85546875" style="60" customWidth="1"/>
    <col min="5150" max="5376" width="9.140625" style="60"/>
    <col min="5377" max="5377" width="19.140625" style="60" customWidth="1"/>
    <col min="5378" max="5396" width="9.140625" style="60" customWidth="1"/>
    <col min="5397" max="5397" width="9.7109375" style="60" bestFit="1" customWidth="1"/>
    <col min="5398" max="5403" width="9.140625" style="60" customWidth="1"/>
    <col min="5404" max="5404" width="12.7109375" style="60" bestFit="1" customWidth="1"/>
    <col min="5405" max="5405" width="10.85546875" style="60" customWidth="1"/>
    <col min="5406" max="5632" width="9.140625" style="60"/>
    <col min="5633" max="5633" width="19.140625" style="60" customWidth="1"/>
    <col min="5634" max="5652" width="9.140625" style="60" customWidth="1"/>
    <col min="5653" max="5653" width="9.7109375" style="60" bestFit="1" customWidth="1"/>
    <col min="5654" max="5659" width="9.140625" style="60" customWidth="1"/>
    <col min="5660" max="5660" width="12.7109375" style="60" bestFit="1" customWidth="1"/>
    <col min="5661" max="5661" width="10.85546875" style="60" customWidth="1"/>
    <col min="5662" max="5888" width="9.140625" style="60"/>
    <col min="5889" max="5889" width="19.140625" style="60" customWidth="1"/>
    <col min="5890" max="5908" width="9.140625" style="60" customWidth="1"/>
    <col min="5909" max="5909" width="9.7109375" style="60" bestFit="1" customWidth="1"/>
    <col min="5910" max="5915" width="9.140625" style="60" customWidth="1"/>
    <col min="5916" max="5916" width="12.7109375" style="60" bestFit="1" customWidth="1"/>
    <col min="5917" max="5917" width="10.85546875" style="60" customWidth="1"/>
    <col min="5918" max="6144" width="9.140625" style="60"/>
    <col min="6145" max="6145" width="19.140625" style="60" customWidth="1"/>
    <col min="6146" max="6164" width="9.140625" style="60" customWidth="1"/>
    <col min="6165" max="6165" width="9.7109375" style="60" bestFit="1" customWidth="1"/>
    <col min="6166" max="6171" width="9.140625" style="60" customWidth="1"/>
    <col min="6172" max="6172" width="12.7109375" style="60" bestFit="1" customWidth="1"/>
    <col min="6173" max="6173" width="10.85546875" style="60" customWidth="1"/>
    <col min="6174" max="6400" width="9.140625" style="60"/>
    <col min="6401" max="6401" width="19.140625" style="60" customWidth="1"/>
    <col min="6402" max="6420" width="9.140625" style="60" customWidth="1"/>
    <col min="6421" max="6421" width="9.7109375" style="60" bestFit="1" customWidth="1"/>
    <col min="6422" max="6427" width="9.140625" style="60" customWidth="1"/>
    <col min="6428" max="6428" width="12.7109375" style="60" bestFit="1" customWidth="1"/>
    <col min="6429" max="6429" width="10.85546875" style="60" customWidth="1"/>
    <col min="6430" max="6656" width="9.140625" style="60"/>
    <col min="6657" max="6657" width="19.140625" style="60" customWidth="1"/>
    <col min="6658" max="6676" width="9.140625" style="60" customWidth="1"/>
    <col min="6677" max="6677" width="9.7109375" style="60" bestFit="1" customWidth="1"/>
    <col min="6678" max="6683" width="9.140625" style="60" customWidth="1"/>
    <col min="6684" max="6684" width="12.7109375" style="60" bestFit="1" customWidth="1"/>
    <col min="6685" max="6685" width="10.85546875" style="60" customWidth="1"/>
    <col min="6686" max="6912" width="9.140625" style="60"/>
    <col min="6913" max="6913" width="19.140625" style="60" customWidth="1"/>
    <col min="6914" max="6932" width="9.140625" style="60" customWidth="1"/>
    <col min="6933" max="6933" width="9.7109375" style="60" bestFit="1" customWidth="1"/>
    <col min="6934" max="6939" width="9.140625" style="60" customWidth="1"/>
    <col min="6940" max="6940" width="12.7109375" style="60" bestFit="1" customWidth="1"/>
    <col min="6941" max="6941" width="10.85546875" style="60" customWidth="1"/>
    <col min="6942" max="7168" width="9.140625" style="60"/>
    <col min="7169" max="7169" width="19.140625" style="60" customWidth="1"/>
    <col min="7170" max="7188" width="9.140625" style="60" customWidth="1"/>
    <col min="7189" max="7189" width="9.7109375" style="60" bestFit="1" customWidth="1"/>
    <col min="7190" max="7195" width="9.140625" style="60" customWidth="1"/>
    <col min="7196" max="7196" width="12.7109375" style="60" bestFit="1" customWidth="1"/>
    <col min="7197" max="7197" width="10.85546875" style="60" customWidth="1"/>
    <col min="7198" max="7424" width="9.140625" style="60"/>
    <col min="7425" max="7425" width="19.140625" style="60" customWidth="1"/>
    <col min="7426" max="7444" width="9.140625" style="60" customWidth="1"/>
    <col min="7445" max="7445" width="9.7109375" style="60" bestFit="1" customWidth="1"/>
    <col min="7446" max="7451" width="9.140625" style="60" customWidth="1"/>
    <col min="7452" max="7452" width="12.7109375" style="60" bestFit="1" customWidth="1"/>
    <col min="7453" max="7453" width="10.85546875" style="60" customWidth="1"/>
    <col min="7454" max="7680" width="9.140625" style="60"/>
    <col min="7681" max="7681" width="19.140625" style="60" customWidth="1"/>
    <col min="7682" max="7700" width="9.140625" style="60" customWidth="1"/>
    <col min="7701" max="7701" width="9.7109375" style="60" bestFit="1" customWidth="1"/>
    <col min="7702" max="7707" width="9.140625" style="60" customWidth="1"/>
    <col min="7708" max="7708" width="12.7109375" style="60" bestFit="1" customWidth="1"/>
    <col min="7709" max="7709" width="10.85546875" style="60" customWidth="1"/>
    <col min="7710" max="7936" width="9.140625" style="60"/>
    <col min="7937" max="7937" width="19.140625" style="60" customWidth="1"/>
    <col min="7938" max="7956" width="9.140625" style="60" customWidth="1"/>
    <col min="7957" max="7957" width="9.7109375" style="60" bestFit="1" customWidth="1"/>
    <col min="7958" max="7963" width="9.140625" style="60" customWidth="1"/>
    <col min="7964" max="7964" width="12.7109375" style="60" bestFit="1" customWidth="1"/>
    <col min="7965" max="7965" width="10.85546875" style="60" customWidth="1"/>
    <col min="7966" max="8192" width="9.140625" style="60"/>
    <col min="8193" max="8193" width="19.140625" style="60" customWidth="1"/>
    <col min="8194" max="8212" width="9.140625" style="60" customWidth="1"/>
    <col min="8213" max="8213" width="9.7109375" style="60" bestFit="1" customWidth="1"/>
    <col min="8214" max="8219" width="9.140625" style="60" customWidth="1"/>
    <col min="8220" max="8220" width="12.7109375" style="60" bestFit="1" customWidth="1"/>
    <col min="8221" max="8221" width="10.85546875" style="60" customWidth="1"/>
    <col min="8222" max="8448" width="9.140625" style="60"/>
    <col min="8449" max="8449" width="19.140625" style="60" customWidth="1"/>
    <col min="8450" max="8468" width="9.140625" style="60" customWidth="1"/>
    <col min="8469" max="8469" width="9.7109375" style="60" bestFit="1" customWidth="1"/>
    <col min="8470" max="8475" width="9.140625" style="60" customWidth="1"/>
    <col min="8476" max="8476" width="12.7109375" style="60" bestFit="1" customWidth="1"/>
    <col min="8477" max="8477" width="10.85546875" style="60" customWidth="1"/>
    <col min="8478" max="8704" width="9.140625" style="60"/>
    <col min="8705" max="8705" width="19.140625" style="60" customWidth="1"/>
    <col min="8706" max="8724" width="9.140625" style="60" customWidth="1"/>
    <col min="8725" max="8725" width="9.7109375" style="60" bestFit="1" customWidth="1"/>
    <col min="8726" max="8731" width="9.140625" style="60" customWidth="1"/>
    <col min="8732" max="8732" width="12.7109375" style="60" bestFit="1" customWidth="1"/>
    <col min="8733" max="8733" width="10.85546875" style="60" customWidth="1"/>
    <col min="8734" max="8960" width="9.140625" style="60"/>
    <col min="8961" max="8961" width="19.140625" style="60" customWidth="1"/>
    <col min="8962" max="8980" width="9.140625" style="60" customWidth="1"/>
    <col min="8981" max="8981" width="9.7109375" style="60" bestFit="1" customWidth="1"/>
    <col min="8982" max="8987" width="9.140625" style="60" customWidth="1"/>
    <col min="8988" max="8988" width="12.7109375" style="60" bestFit="1" customWidth="1"/>
    <col min="8989" max="8989" width="10.85546875" style="60" customWidth="1"/>
    <col min="8990" max="9216" width="9.140625" style="60"/>
    <col min="9217" max="9217" width="19.140625" style="60" customWidth="1"/>
    <col min="9218" max="9236" width="9.140625" style="60" customWidth="1"/>
    <col min="9237" max="9237" width="9.7109375" style="60" bestFit="1" customWidth="1"/>
    <col min="9238" max="9243" width="9.140625" style="60" customWidth="1"/>
    <col min="9244" max="9244" width="12.7109375" style="60" bestFit="1" customWidth="1"/>
    <col min="9245" max="9245" width="10.85546875" style="60" customWidth="1"/>
    <col min="9246" max="9472" width="9.140625" style="60"/>
    <col min="9473" max="9473" width="19.140625" style="60" customWidth="1"/>
    <col min="9474" max="9492" width="9.140625" style="60" customWidth="1"/>
    <col min="9493" max="9493" width="9.7109375" style="60" bestFit="1" customWidth="1"/>
    <col min="9494" max="9499" width="9.140625" style="60" customWidth="1"/>
    <col min="9500" max="9500" width="12.7109375" style="60" bestFit="1" customWidth="1"/>
    <col min="9501" max="9501" width="10.85546875" style="60" customWidth="1"/>
    <col min="9502" max="9728" width="9.140625" style="60"/>
    <col min="9729" max="9729" width="19.140625" style="60" customWidth="1"/>
    <col min="9730" max="9748" width="9.140625" style="60" customWidth="1"/>
    <col min="9749" max="9749" width="9.7109375" style="60" bestFit="1" customWidth="1"/>
    <col min="9750" max="9755" width="9.140625" style="60" customWidth="1"/>
    <col min="9756" max="9756" width="12.7109375" style="60" bestFit="1" customWidth="1"/>
    <col min="9757" max="9757" width="10.85546875" style="60" customWidth="1"/>
    <col min="9758" max="9984" width="9.140625" style="60"/>
    <col min="9985" max="9985" width="19.140625" style="60" customWidth="1"/>
    <col min="9986" max="10004" width="9.140625" style="60" customWidth="1"/>
    <col min="10005" max="10005" width="9.7109375" style="60" bestFit="1" customWidth="1"/>
    <col min="10006" max="10011" width="9.140625" style="60" customWidth="1"/>
    <col min="10012" max="10012" width="12.7109375" style="60" bestFit="1" customWidth="1"/>
    <col min="10013" max="10013" width="10.85546875" style="60" customWidth="1"/>
    <col min="10014" max="10240" width="9.140625" style="60"/>
    <col min="10241" max="10241" width="19.140625" style="60" customWidth="1"/>
    <col min="10242" max="10260" width="9.140625" style="60" customWidth="1"/>
    <col min="10261" max="10261" width="9.7109375" style="60" bestFit="1" customWidth="1"/>
    <col min="10262" max="10267" width="9.140625" style="60" customWidth="1"/>
    <col min="10268" max="10268" width="12.7109375" style="60" bestFit="1" customWidth="1"/>
    <col min="10269" max="10269" width="10.85546875" style="60" customWidth="1"/>
    <col min="10270" max="10496" width="9.140625" style="60"/>
    <col min="10497" max="10497" width="19.140625" style="60" customWidth="1"/>
    <col min="10498" max="10516" width="9.140625" style="60" customWidth="1"/>
    <col min="10517" max="10517" width="9.7109375" style="60" bestFit="1" customWidth="1"/>
    <col min="10518" max="10523" width="9.140625" style="60" customWidth="1"/>
    <col min="10524" max="10524" width="12.7109375" style="60" bestFit="1" customWidth="1"/>
    <col min="10525" max="10525" width="10.85546875" style="60" customWidth="1"/>
    <col min="10526" max="10752" width="9.140625" style="60"/>
    <col min="10753" max="10753" width="19.140625" style="60" customWidth="1"/>
    <col min="10754" max="10772" width="9.140625" style="60" customWidth="1"/>
    <col min="10773" max="10773" width="9.7109375" style="60" bestFit="1" customWidth="1"/>
    <col min="10774" max="10779" width="9.140625" style="60" customWidth="1"/>
    <col min="10780" max="10780" width="12.7109375" style="60" bestFit="1" customWidth="1"/>
    <col min="10781" max="10781" width="10.85546875" style="60" customWidth="1"/>
    <col min="10782" max="11008" width="9.140625" style="60"/>
    <col min="11009" max="11009" width="19.140625" style="60" customWidth="1"/>
    <col min="11010" max="11028" width="9.140625" style="60" customWidth="1"/>
    <col min="11029" max="11029" width="9.7109375" style="60" bestFit="1" customWidth="1"/>
    <col min="11030" max="11035" width="9.140625" style="60" customWidth="1"/>
    <col min="11036" max="11036" width="12.7109375" style="60" bestFit="1" customWidth="1"/>
    <col min="11037" max="11037" width="10.85546875" style="60" customWidth="1"/>
    <col min="11038" max="11264" width="9.140625" style="60"/>
    <col min="11265" max="11265" width="19.140625" style="60" customWidth="1"/>
    <col min="11266" max="11284" width="9.140625" style="60" customWidth="1"/>
    <col min="11285" max="11285" width="9.7109375" style="60" bestFit="1" customWidth="1"/>
    <col min="11286" max="11291" width="9.140625" style="60" customWidth="1"/>
    <col min="11292" max="11292" width="12.7109375" style="60" bestFit="1" customWidth="1"/>
    <col min="11293" max="11293" width="10.85546875" style="60" customWidth="1"/>
    <col min="11294" max="11520" width="9.140625" style="60"/>
    <col min="11521" max="11521" width="19.140625" style="60" customWidth="1"/>
    <col min="11522" max="11540" width="9.140625" style="60" customWidth="1"/>
    <col min="11541" max="11541" width="9.7109375" style="60" bestFit="1" customWidth="1"/>
    <col min="11542" max="11547" width="9.140625" style="60" customWidth="1"/>
    <col min="11548" max="11548" width="12.7109375" style="60" bestFit="1" customWidth="1"/>
    <col min="11549" max="11549" width="10.85546875" style="60" customWidth="1"/>
    <col min="11550" max="11776" width="9.140625" style="60"/>
    <col min="11777" max="11777" width="19.140625" style="60" customWidth="1"/>
    <col min="11778" max="11796" width="9.140625" style="60" customWidth="1"/>
    <col min="11797" max="11797" width="9.7109375" style="60" bestFit="1" customWidth="1"/>
    <col min="11798" max="11803" width="9.140625" style="60" customWidth="1"/>
    <col min="11804" max="11804" width="12.7109375" style="60" bestFit="1" customWidth="1"/>
    <col min="11805" max="11805" width="10.85546875" style="60" customWidth="1"/>
    <col min="11806" max="12032" width="9.140625" style="60"/>
    <col min="12033" max="12033" width="19.140625" style="60" customWidth="1"/>
    <col min="12034" max="12052" width="9.140625" style="60" customWidth="1"/>
    <col min="12053" max="12053" width="9.7109375" style="60" bestFit="1" customWidth="1"/>
    <col min="12054" max="12059" width="9.140625" style="60" customWidth="1"/>
    <col min="12060" max="12060" width="12.7109375" style="60" bestFit="1" customWidth="1"/>
    <col min="12061" max="12061" width="10.85546875" style="60" customWidth="1"/>
    <col min="12062" max="12288" width="9.140625" style="60"/>
    <col min="12289" max="12289" width="19.140625" style="60" customWidth="1"/>
    <col min="12290" max="12308" width="9.140625" style="60" customWidth="1"/>
    <col min="12309" max="12309" width="9.7109375" style="60" bestFit="1" customWidth="1"/>
    <col min="12310" max="12315" width="9.140625" style="60" customWidth="1"/>
    <col min="12316" max="12316" width="12.7109375" style="60" bestFit="1" customWidth="1"/>
    <col min="12317" max="12317" width="10.85546875" style="60" customWidth="1"/>
    <col min="12318" max="12544" width="9.140625" style="60"/>
    <col min="12545" max="12545" width="19.140625" style="60" customWidth="1"/>
    <col min="12546" max="12564" width="9.140625" style="60" customWidth="1"/>
    <col min="12565" max="12565" width="9.7109375" style="60" bestFit="1" customWidth="1"/>
    <col min="12566" max="12571" width="9.140625" style="60" customWidth="1"/>
    <col min="12572" max="12572" width="12.7109375" style="60" bestFit="1" customWidth="1"/>
    <col min="12573" max="12573" width="10.85546875" style="60" customWidth="1"/>
    <col min="12574" max="12800" width="9.140625" style="60"/>
    <col min="12801" max="12801" width="19.140625" style="60" customWidth="1"/>
    <col min="12802" max="12820" width="9.140625" style="60" customWidth="1"/>
    <col min="12821" max="12821" width="9.7109375" style="60" bestFit="1" customWidth="1"/>
    <col min="12822" max="12827" width="9.140625" style="60" customWidth="1"/>
    <col min="12828" max="12828" width="12.7109375" style="60" bestFit="1" customWidth="1"/>
    <col min="12829" max="12829" width="10.85546875" style="60" customWidth="1"/>
    <col min="12830" max="13056" width="9.140625" style="60"/>
    <col min="13057" max="13057" width="19.140625" style="60" customWidth="1"/>
    <col min="13058" max="13076" width="9.140625" style="60" customWidth="1"/>
    <col min="13077" max="13077" width="9.7109375" style="60" bestFit="1" customWidth="1"/>
    <col min="13078" max="13083" width="9.140625" style="60" customWidth="1"/>
    <col min="13084" max="13084" width="12.7109375" style="60" bestFit="1" customWidth="1"/>
    <col min="13085" max="13085" width="10.85546875" style="60" customWidth="1"/>
    <col min="13086" max="13312" width="9.140625" style="60"/>
    <col min="13313" max="13313" width="19.140625" style="60" customWidth="1"/>
    <col min="13314" max="13332" width="9.140625" style="60" customWidth="1"/>
    <col min="13333" max="13333" width="9.7109375" style="60" bestFit="1" customWidth="1"/>
    <col min="13334" max="13339" width="9.140625" style="60" customWidth="1"/>
    <col min="13340" max="13340" width="12.7109375" style="60" bestFit="1" customWidth="1"/>
    <col min="13341" max="13341" width="10.85546875" style="60" customWidth="1"/>
    <col min="13342" max="13568" width="9.140625" style="60"/>
    <col min="13569" max="13569" width="19.140625" style="60" customWidth="1"/>
    <col min="13570" max="13588" width="9.140625" style="60" customWidth="1"/>
    <col min="13589" max="13589" width="9.7109375" style="60" bestFit="1" customWidth="1"/>
    <col min="13590" max="13595" width="9.140625" style="60" customWidth="1"/>
    <col min="13596" max="13596" width="12.7109375" style="60" bestFit="1" customWidth="1"/>
    <col min="13597" max="13597" width="10.85546875" style="60" customWidth="1"/>
    <col min="13598" max="13824" width="9.140625" style="60"/>
    <col min="13825" max="13825" width="19.140625" style="60" customWidth="1"/>
    <col min="13826" max="13844" width="9.140625" style="60" customWidth="1"/>
    <col min="13845" max="13845" width="9.7109375" style="60" bestFit="1" customWidth="1"/>
    <col min="13846" max="13851" width="9.140625" style="60" customWidth="1"/>
    <col min="13852" max="13852" width="12.7109375" style="60" bestFit="1" customWidth="1"/>
    <col min="13853" max="13853" width="10.85546875" style="60" customWidth="1"/>
    <col min="13854" max="14080" width="9.140625" style="60"/>
    <col min="14081" max="14081" width="19.140625" style="60" customWidth="1"/>
    <col min="14082" max="14100" width="9.140625" style="60" customWidth="1"/>
    <col min="14101" max="14101" width="9.7109375" style="60" bestFit="1" customWidth="1"/>
    <col min="14102" max="14107" width="9.140625" style="60" customWidth="1"/>
    <col min="14108" max="14108" width="12.7109375" style="60" bestFit="1" customWidth="1"/>
    <col min="14109" max="14109" width="10.85546875" style="60" customWidth="1"/>
    <col min="14110" max="14336" width="9.140625" style="60"/>
    <col min="14337" max="14337" width="19.140625" style="60" customWidth="1"/>
    <col min="14338" max="14356" width="9.140625" style="60" customWidth="1"/>
    <col min="14357" max="14357" width="9.7109375" style="60" bestFit="1" customWidth="1"/>
    <col min="14358" max="14363" width="9.140625" style="60" customWidth="1"/>
    <col min="14364" max="14364" width="12.7109375" style="60" bestFit="1" customWidth="1"/>
    <col min="14365" max="14365" width="10.85546875" style="60" customWidth="1"/>
    <col min="14366" max="14592" width="9.140625" style="60"/>
    <col min="14593" max="14593" width="19.140625" style="60" customWidth="1"/>
    <col min="14594" max="14612" width="9.140625" style="60" customWidth="1"/>
    <col min="14613" max="14613" width="9.7109375" style="60" bestFit="1" customWidth="1"/>
    <col min="14614" max="14619" width="9.140625" style="60" customWidth="1"/>
    <col min="14620" max="14620" width="12.7109375" style="60" bestFit="1" customWidth="1"/>
    <col min="14621" max="14621" width="10.85546875" style="60" customWidth="1"/>
    <col min="14622" max="14848" width="9.140625" style="60"/>
    <col min="14849" max="14849" width="19.140625" style="60" customWidth="1"/>
    <col min="14850" max="14868" width="9.140625" style="60" customWidth="1"/>
    <col min="14869" max="14869" width="9.7109375" style="60" bestFit="1" customWidth="1"/>
    <col min="14870" max="14875" width="9.140625" style="60" customWidth="1"/>
    <col min="14876" max="14876" width="12.7109375" style="60" bestFit="1" customWidth="1"/>
    <col min="14877" max="14877" width="10.85546875" style="60" customWidth="1"/>
    <col min="14878" max="15104" width="9.140625" style="60"/>
    <col min="15105" max="15105" width="19.140625" style="60" customWidth="1"/>
    <col min="15106" max="15124" width="9.140625" style="60" customWidth="1"/>
    <col min="15125" max="15125" width="9.7109375" style="60" bestFit="1" customWidth="1"/>
    <col min="15126" max="15131" width="9.140625" style="60" customWidth="1"/>
    <col min="15132" max="15132" width="12.7109375" style="60" bestFit="1" customWidth="1"/>
    <col min="15133" max="15133" width="10.85546875" style="60" customWidth="1"/>
    <col min="15134" max="15360" width="9.140625" style="60"/>
    <col min="15361" max="15361" width="19.140625" style="60" customWidth="1"/>
    <col min="15362" max="15380" width="9.140625" style="60" customWidth="1"/>
    <col min="15381" max="15381" width="9.7109375" style="60" bestFit="1" customWidth="1"/>
    <col min="15382" max="15387" width="9.140625" style="60" customWidth="1"/>
    <col min="15388" max="15388" width="12.7109375" style="60" bestFit="1" customWidth="1"/>
    <col min="15389" max="15389" width="10.85546875" style="60" customWidth="1"/>
    <col min="15390" max="15616" width="9.140625" style="60"/>
    <col min="15617" max="15617" width="19.140625" style="60" customWidth="1"/>
    <col min="15618" max="15636" width="9.140625" style="60" customWidth="1"/>
    <col min="15637" max="15637" width="9.7109375" style="60" bestFit="1" customWidth="1"/>
    <col min="15638" max="15643" width="9.140625" style="60" customWidth="1"/>
    <col min="15644" max="15644" width="12.7109375" style="60" bestFit="1" customWidth="1"/>
    <col min="15645" max="15645" width="10.85546875" style="60" customWidth="1"/>
    <col min="15646" max="15872" width="9.140625" style="60"/>
    <col min="15873" max="15873" width="19.140625" style="60" customWidth="1"/>
    <col min="15874" max="15892" width="9.140625" style="60" customWidth="1"/>
    <col min="15893" max="15893" width="9.7109375" style="60" bestFit="1" customWidth="1"/>
    <col min="15894" max="15899" width="9.140625" style="60" customWidth="1"/>
    <col min="15900" max="15900" width="12.7109375" style="60" bestFit="1" customWidth="1"/>
    <col min="15901" max="15901" width="10.85546875" style="60" customWidth="1"/>
    <col min="15902" max="16128" width="9.140625" style="60"/>
    <col min="16129" max="16129" width="19.140625" style="60" customWidth="1"/>
    <col min="16130" max="16148" width="9.140625" style="60" customWidth="1"/>
    <col min="16149" max="16149" width="9.7109375" style="60" bestFit="1" customWidth="1"/>
    <col min="16150" max="16155" width="9.140625" style="60" customWidth="1"/>
    <col min="16156" max="16156" width="12.7109375" style="60" bestFit="1" customWidth="1"/>
    <col min="16157" max="16157" width="10.85546875" style="60" customWidth="1"/>
    <col min="16158" max="16384" width="9.140625" style="60"/>
  </cols>
  <sheetData>
    <row r="1" spans="1:29" s="96" customFormat="1" ht="102" x14ac:dyDescent="0.2">
      <c r="A1" s="112" t="s">
        <v>454</v>
      </c>
      <c r="B1" s="112" t="s">
        <v>455</v>
      </c>
      <c r="C1" s="131" t="s">
        <v>622</v>
      </c>
      <c r="D1" s="114" t="s">
        <v>623</v>
      </c>
      <c r="E1" s="130" t="s">
        <v>624</v>
      </c>
      <c r="F1" s="116" t="s">
        <v>625</v>
      </c>
      <c r="G1" s="113" t="s">
        <v>626</v>
      </c>
      <c r="H1" s="113" t="s">
        <v>627</v>
      </c>
      <c r="I1" s="113" t="s">
        <v>628</v>
      </c>
      <c r="J1" s="113" t="s">
        <v>629</v>
      </c>
      <c r="K1" s="131" t="s">
        <v>630</v>
      </c>
      <c r="L1" s="130" t="s">
        <v>631</v>
      </c>
      <c r="M1" s="113" t="s">
        <v>632</v>
      </c>
      <c r="N1" s="115" t="s">
        <v>633</v>
      </c>
      <c r="O1" s="131" t="s">
        <v>634</v>
      </c>
      <c r="P1" s="131" t="s">
        <v>635</v>
      </c>
      <c r="Q1" s="131" t="s">
        <v>636</v>
      </c>
      <c r="R1" s="113" t="s">
        <v>637</v>
      </c>
      <c r="S1" s="131" t="s">
        <v>638</v>
      </c>
      <c r="T1" s="116" t="s">
        <v>639</v>
      </c>
      <c r="U1" s="114" t="s">
        <v>640</v>
      </c>
      <c r="V1" s="116" t="s">
        <v>641</v>
      </c>
      <c r="W1" s="131" t="s">
        <v>642</v>
      </c>
      <c r="X1" s="131" t="s">
        <v>643</v>
      </c>
      <c r="Y1" s="131" t="s">
        <v>644</v>
      </c>
      <c r="Z1" s="131" t="s">
        <v>645</v>
      </c>
      <c r="AA1" s="114" t="s">
        <v>646</v>
      </c>
      <c r="AB1" s="129" t="s">
        <v>581</v>
      </c>
      <c r="AC1" s="129" t="s">
        <v>647</v>
      </c>
    </row>
    <row r="2" spans="1:29" customFormat="1" ht="15" x14ac:dyDescent="0.25">
      <c r="A2" s="120" t="str">
        <f>IF('Upload Build'!$J$2=1,'Upload Build'!A$2,IF('Upload Build'!$J$3=1,'Upload Build'!A$3,IF('Upload Build'!$J$4=1,'Upload Build'!A$4,"")))</f>
        <v/>
      </c>
      <c r="B2" s="124" t="str">
        <f>IF('Upload Build'!$J$2=1,'Upload Build'!B$2,IF('Upload Build'!$J$3=1,'Upload Build'!B$3,IF('Upload Build'!$J$4=1,'Upload Build'!B$4,"")))</f>
        <v/>
      </c>
      <c r="C2" s="125" t="str">
        <f>IF(D2="","",D2)</f>
        <v/>
      </c>
      <c r="D2" s="136" t="str">
        <f>IF('Upload Build'!$J$2=1,'Upload Build'!C$2,IF('Upload Build'!$J$3=1,'Upload Build'!C$3,IF('Upload Build'!$J$4=1,'Upload Build'!C$4,"")))</f>
        <v/>
      </c>
      <c r="E2" s="158" t="str">
        <f>IF(F2="","",F2)</f>
        <v/>
      </c>
      <c r="F2" s="158" t="str">
        <f>IF('Upload Build'!$J$2=1,'Upload Build'!D$2,IF('Upload Build'!$J$3=1,'Upload Build'!D$3,IF('Upload Build'!$J$4=1,'Upload Build'!D$4,"")))</f>
        <v/>
      </c>
      <c r="G2" s="105"/>
      <c r="H2" s="105"/>
      <c r="I2" s="105"/>
      <c r="J2" s="105"/>
      <c r="K2" t="str">
        <f>IF(A2="","",VLOOKUP($A2,Lists!$AA$2:$BA$4,27,FALSE))</f>
        <v/>
      </c>
      <c r="L2" s="125" t="str">
        <f>IF(T2="","",T2)</f>
        <v/>
      </c>
      <c r="O2" t="str">
        <f>IF($A2="","",VLOOKUP($A2,'Upload Build'!$A$2:$I$4,9,FALSE))</f>
        <v/>
      </c>
      <c r="P2" t="str">
        <f>IF($A2="","",0)</f>
        <v/>
      </c>
      <c r="Q2" s="119" t="str">
        <f>IF($A2="","",0)</f>
        <v/>
      </c>
      <c r="S2" t="str">
        <f>IF(AA2="","",AA2)</f>
        <v/>
      </c>
      <c r="T2" s="136" t="str">
        <f>IF('Upload Build'!$J$2=1,'Upload Build'!E$2,IF('Upload Build'!$J$3=1,'Upload Build'!E$3,IF('Upload Build'!$J$4=1,'Upload Build'!E$4,"")))</f>
        <v/>
      </c>
      <c r="U2" s="136" t="str">
        <f>IF('Upload Build'!$J$2=1,'Upload Build'!F$2,IF('Upload Build'!$J$3=1,'Upload Build'!F$3,IF('Upload Build'!$J$4=1,'Upload Build'!F$4,"")))</f>
        <v/>
      </c>
      <c r="V2" s="158" t="str">
        <f>IF('Upload Build'!$J$2=1,'Upload Build'!G$2,IF('Upload Build'!$J$3=1,'Upload Build'!G$3,IF('Upload Build'!$J$4=1,'Upload Build'!G$4,"")))</f>
        <v/>
      </c>
      <c r="W2" s="119" t="str">
        <f>IF($A2="","",VLOOKUP($A2,'Upload Build'!$A$2:$I$4,9,FALSE))</f>
        <v/>
      </c>
      <c r="X2" s="119" t="str">
        <f>IF($A2="","",0)</f>
        <v/>
      </c>
      <c r="Y2" s="119" t="str">
        <f>IF($A2="","",0)</f>
        <v/>
      </c>
      <c r="Z2" s="119" t="str">
        <f>IF($A2="","",VLOOKUP($A2,'Upload Build'!$A$2:$I$4,9,FALSE))</f>
        <v/>
      </c>
      <c r="AA2" s="136" t="str">
        <f>IF('Upload Build'!$J$2=1,'Upload Build'!H$2,IF('Upload Build'!$J$3=1,'Upload Build'!H$3,IF('Upload Build'!$J$4=1,'Upload Build'!H$4,"")))</f>
        <v/>
      </c>
      <c r="AB2" s="119" t="str">
        <f>IF($A2="","",Summary!$L$45)</f>
        <v/>
      </c>
      <c r="AC2" t="str">
        <f>IF($A2="","",Summary!$P$4)</f>
        <v/>
      </c>
    </row>
    <row r="3" spans="1:29" customFormat="1" ht="15" x14ac:dyDescent="0.25">
      <c r="A3" s="124" t="str">
        <f>IF('Upload Build'!$J$2=1, IF('Upload Build'!$J$3=1,'Upload Build'!A$3, IF('Upload Build'!$J$4=1,'Upload Build'!A$4,"")),IF('Upload Build'!$J$3=1, IF('Upload Build'!$J$4=1, 'Upload Build'!A$4,""),""))</f>
        <v/>
      </c>
      <c r="B3" s="124" t="str">
        <f>IF('Upload Build'!$J$2=1, IF('Upload Build'!$J$3=1,'Upload Build'!B$3, IF('Upload Build'!$J$4=1,'Upload Build'!B$4,"")),IF('Upload Build'!$J$3=1, IF('Upload Build'!$J$4=1, 'Upload Build'!B$4,""),""))</f>
        <v/>
      </c>
      <c r="C3" s="125" t="str">
        <f t="shared" ref="C3:C4" si="0">IF(D3="","",D3)</f>
        <v/>
      </c>
      <c r="D3" s="125" t="str">
        <f>IF('Upload Build'!$J$2=1, IF('Upload Build'!$J$3=1,'Upload Build'!C$3, IF('Upload Build'!$J$4=1,'Upload Build'!C$4,"")),IF('Upload Build'!$J$3=1, IF('Upload Build'!$J$4=1, 'Upload Build'!C$4,""),""))</f>
        <v/>
      </c>
      <c r="E3" s="158" t="str">
        <f t="shared" ref="E3:E4" si="1">IF(F3="","",F3)</f>
        <v/>
      </c>
      <c r="F3" s="159" t="str">
        <f>IF('Upload Build'!$J$2=1, IF('Upload Build'!$J$3=1,'Upload Build'!D$3, IF('Upload Build'!$J$4=1,'Upload Build'!D$4,"")),IF('Upload Build'!$J$3=1, IF('Upload Build'!$J$4=1, 'Upload Build'!D$4,""),""))</f>
        <v/>
      </c>
      <c r="G3" s="105"/>
      <c r="H3" s="105"/>
      <c r="I3" s="105"/>
      <c r="J3" s="105"/>
      <c r="K3" s="119" t="str">
        <f>IF(A3="","",VLOOKUP($A3,Lists!$AA$2:$BA$4,27,FALSE))</f>
        <v/>
      </c>
      <c r="L3" s="125" t="str">
        <f t="shared" ref="L3:L4" si="2">IF(T3="","",T3)</f>
        <v/>
      </c>
      <c r="O3" s="119" t="str">
        <f>IF($A3="","",VLOOKUP($A3,'Upload Build'!$A$2:$I$4,9,FALSE))</f>
        <v/>
      </c>
      <c r="P3" s="119" t="str">
        <f t="shared" ref="P3:Q4" si="3">IF($A3="","",0)</f>
        <v/>
      </c>
      <c r="Q3" s="119" t="str">
        <f t="shared" si="3"/>
        <v/>
      </c>
      <c r="S3" s="119" t="str">
        <f t="shared" ref="S3:S4" si="4">IF(AA3="","",AA3)</f>
        <v/>
      </c>
      <c r="T3" s="125" t="str">
        <f>IF('Upload Build'!$J$2=1, IF('Upload Build'!$J$3=1,'Upload Build'!E$3, IF('Upload Build'!$J$4=1,'Upload Build'!E$4,"")),IF('Upload Build'!$J$3=1, IF('Upload Build'!$J$4=1, 'Upload Build'!E$4,""),""))</f>
        <v/>
      </c>
      <c r="U3" s="125" t="str">
        <f>IF('Upload Build'!$J$2=1, IF('Upload Build'!$J$3=1,'Upload Build'!F$3, IF('Upload Build'!$J$4=1,'Upload Build'!F$4,"")),IF('Upload Build'!$J$3=1, IF('Upload Build'!$J$4=1, 'Upload Build'!F$4,""),""))</f>
        <v/>
      </c>
      <c r="V3" s="159" t="str">
        <f>IF('Upload Build'!$J$2=1, IF('Upload Build'!$J$3=1,'Upload Build'!G$3, IF('Upload Build'!$J$4=1,'Upload Build'!G$4,"")),IF('Upload Build'!$J$3=1, IF('Upload Build'!$J$4=1, 'Upload Build'!G$4,""),""))</f>
        <v/>
      </c>
      <c r="W3" s="119" t="str">
        <f>IF($A3="","",VLOOKUP($A3,'Upload Build'!$A$2:$I$4,9,FALSE))</f>
        <v/>
      </c>
      <c r="X3" s="119" t="str">
        <f t="shared" ref="X3:Y4" si="5">IF($A3="","",0)</f>
        <v/>
      </c>
      <c r="Y3" s="119" t="str">
        <f t="shared" si="5"/>
        <v/>
      </c>
      <c r="Z3" s="119" t="str">
        <f>IF($A3="","",VLOOKUP($A3,'Upload Build'!$A$2:$I$4,9,FALSE))</f>
        <v/>
      </c>
      <c r="AA3" s="125" t="str">
        <f>IF('Upload Build'!$J$2=1, IF('Upload Build'!$J$3=1,'Upload Build'!H$3, IF('Upload Build'!$J$4=1,'Upload Build'!H$4,"")),IF('Upload Build'!$J$3=1, IF('Upload Build'!$J$4=1, 'Upload Build'!H$4,""),""))</f>
        <v/>
      </c>
      <c r="AB3" s="119" t="str">
        <f>IF($A3="","",Summary!$L$45)</f>
        <v/>
      </c>
      <c r="AC3" s="119" t="str">
        <f>IF($A3="","",Summary!$P$4)</f>
        <v/>
      </c>
    </row>
    <row r="4" spans="1:29" customFormat="1" ht="15" x14ac:dyDescent="0.25">
      <c r="A4" s="124" t="str">
        <f>IF(SUM('Upload Build'!$J$2:$J$4)=3,'Upload Build'!A$4,"")</f>
        <v/>
      </c>
      <c r="B4" s="124" t="str">
        <f>IF(SUM('Upload Build'!$J$2:$J$4)=3,'Upload Build'!B$4,"")</f>
        <v/>
      </c>
      <c r="C4" s="125" t="str">
        <f t="shared" si="0"/>
        <v/>
      </c>
      <c r="D4" s="125" t="str">
        <f>IF(SUM('Upload Build'!$J$2:$J$4)=3,'Upload Build'!C$4,"")</f>
        <v/>
      </c>
      <c r="E4" s="158" t="str">
        <f t="shared" si="1"/>
        <v/>
      </c>
      <c r="F4" s="159" t="str">
        <f>IF(SUM('Upload Build'!$J$2:$J$4)=3,'Upload Build'!D$4,"")</f>
        <v/>
      </c>
      <c r="G4" s="105"/>
      <c r="H4" s="105"/>
      <c r="I4" s="105"/>
      <c r="J4" s="105"/>
      <c r="K4" s="119" t="str">
        <f>IF(A4="","",VLOOKUP($A4,Lists!$AA$2:$BA$4,27,FALSE))</f>
        <v/>
      </c>
      <c r="L4" s="125" t="str">
        <f t="shared" si="2"/>
        <v/>
      </c>
      <c r="M4" s="119"/>
      <c r="N4" s="119"/>
      <c r="O4" s="119" t="str">
        <f>IF($A4="","",VLOOKUP($A4,'Upload Build'!$A$2:$I$4,9,FALSE))</f>
        <v/>
      </c>
      <c r="P4" s="119" t="str">
        <f t="shared" si="3"/>
        <v/>
      </c>
      <c r="Q4" s="119" t="str">
        <f t="shared" si="3"/>
        <v/>
      </c>
      <c r="R4" s="119"/>
      <c r="S4" s="119" t="str">
        <f t="shared" si="4"/>
        <v/>
      </c>
      <c r="T4" s="125" t="str">
        <f>IF(SUM('Upload Build'!$J$2:$J$4)=3,'Upload Build'!E$4,"")</f>
        <v/>
      </c>
      <c r="U4" s="125" t="str">
        <f>IF(SUM('Upload Build'!$J$2:$J$4)=3,'Upload Build'!F$4,"")</f>
        <v/>
      </c>
      <c r="V4" s="159" t="str">
        <f>IF(SUM('Upload Build'!$J$2:$J$4)=3,'Upload Build'!G$4,"")</f>
        <v/>
      </c>
      <c r="W4" s="119" t="str">
        <f>IF($A4="","",VLOOKUP($A4,'Upload Build'!$A$2:$I$4,9,FALSE))</f>
        <v/>
      </c>
      <c r="X4" s="119" t="str">
        <f t="shared" si="5"/>
        <v/>
      </c>
      <c r="Y4" s="119" t="str">
        <f t="shared" si="5"/>
        <v/>
      </c>
      <c r="Z4" s="119" t="str">
        <f>IF($A4="","",VLOOKUP($A4,'Upload Build'!$A$2:$I$4,9,FALSE))</f>
        <v/>
      </c>
      <c r="AA4" s="125" t="str">
        <f>IF(SUM('Upload Build'!$J$2:$J$4)=3,'Upload Build'!H$4,"")</f>
        <v/>
      </c>
      <c r="AB4" s="119" t="str">
        <f>IF($A4="","",Summary!$L$45)</f>
        <v/>
      </c>
      <c r="AC4" s="119" t="str">
        <f>IF($A4="","",Summary!$P$4)</f>
        <v/>
      </c>
    </row>
    <row r="5" spans="1:29" customFormat="1" ht="15" x14ac:dyDescent="0.25"/>
    <row r="6" spans="1:29" customFormat="1" ht="15" x14ac:dyDescent="0.25"/>
    <row r="7" spans="1:29" customFormat="1" ht="15" x14ac:dyDescent="0.25"/>
    <row r="8" spans="1:29" customFormat="1" ht="15" x14ac:dyDescent="0.25"/>
    <row r="9" spans="1:29" customFormat="1" ht="15" x14ac:dyDescent="0.25"/>
    <row r="10" spans="1:29" customFormat="1" ht="15" x14ac:dyDescent="0.25"/>
    <row r="11" spans="1:29" customFormat="1" ht="15" x14ac:dyDescent="0.25"/>
    <row r="12" spans="1:29" customFormat="1" ht="15" x14ac:dyDescent="0.25"/>
    <row r="13" spans="1:29" customFormat="1" ht="15" x14ac:dyDescent="0.25"/>
    <row r="14" spans="1:29" customFormat="1" ht="15" x14ac:dyDescent="0.25"/>
    <row r="15" spans="1:29" customFormat="1" ht="15" x14ac:dyDescent="0.25"/>
    <row r="16" spans="1:29" customFormat="1" ht="15" x14ac:dyDescent="0.25"/>
    <row r="17" customFormat="1" ht="15" x14ac:dyDescent="0.25"/>
    <row r="18" customFormat="1" ht="15" x14ac:dyDescent="0.25"/>
    <row r="19" customFormat="1" ht="15" x14ac:dyDescent="0.25"/>
    <row r="20" customFormat="1" ht="15" x14ac:dyDescent="0.25"/>
    <row r="21" customFormat="1" ht="15" x14ac:dyDescent="0.25"/>
    <row r="22" customFormat="1" ht="15" x14ac:dyDescent="0.25"/>
    <row r="23" customFormat="1" ht="15" x14ac:dyDescent="0.25"/>
    <row r="24" customFormat="1" ht="15" x14ac:dyDescent="0.25"/>
    <row r="25" customFormat="1" ht="15" x14ac:dyDescent="0.25"/>
    <row r="26" customFormat="1" ht="15" x14ac:dyDescent="0.25"/>
    <row r="27" customFormat="1" ht="15" x14ac:dyDescent="0.25"/>
    <row r="28" customFormat="1" ht="15" x14ac:dyDescent="0.25"/>
    <row r="29" customFormat="1" ht="15" x14ac:dyDescent="0.25"/>
    <row r="30" customFormat="1" ht="15" x14ac:dyDescent="0.25"/>
    <row r="31" customFormat="1" ht="15" x14ac:dyDescent="0.25"/>
    <row r="32" customFormat="1" ht="15" x14ac:dyDescent="0.25"/>
    <row r="33" customFormat="1" ht="15" x14ac:dyDescent="0.25"/>
    <row r="34" customFormat="1" ht="15" x14ac:dyDescent="0.25"/>
    <row r="35" customFormat="1" ht="15" x14ac:dyDescent="0.25"/>
    <row r="36" customFormat="1" ht="15" x14ac:dyDescent="0.25"/>
    <row r="37" customFormat="1" ht="15" x14ac:dyDescent="0.25"/>
    <row r="38" customFormat="1" ht="15" x14ac:dyDescent="0.25"/>
    <row r="39" customFormat="1" ht="15" x14ac:dyDescent="0.25"/>
    <row r="40" customFormat="1" ht="15" x14ac:dyDescent="0.25"/>
    <row r="41" customFormat="1" ht="15" x14ac:dyDescent="0.25"/>
    <row r="42" customFormat="1" ht="15" x14ac:dyDescent="0.25"/>
    <row r="43" customFormat="1" ht="15" x14ac:dyDescent="0.25"/>
    <row r="44" customFormat="1" ht="15" x14ac:dyDescent="0.25"/>
    <row r="45" customFormat="1" ht="15" x14ac:dyDescent="0.25"/>
    <row r="46" customFormat="1" ht="15" x14ac:dyDescent="0.25"/>
    <row r="47" customFormat="1" ht="15" x14ac:dyDescent="0.25"/>
    <row r="48" customFormat="1" ht="15" x14ac:dyDescent="0.25"/>
    <row r="49" customFormat="1" ht="15" x14ac:dyDescent="0.25"/>
    <row r="50" customFormat="1" ht="15" x14ac:dyDescent="0.25"/>
    <row r="51" customFormat="1" ht="15" x14ac:dyDescent="0.25"/>
    <row r="52" customFormat="1" ht="15" x14ac:dyDescent="0.25"/>
    <row r="53" customFormat="1" ht="15" x14ac:dyDescent="0.25"/>
    <row r="54" customFormat="1" ht="15" x14ac:dyDescent="0.25"/>
    <row r="55" customFormat="1" ht="15" x14ac:dyDescent="0.25"/>
    <row r="56" customFormat="1" ht="15" x14ac:dyDescent="0.25"/>
    <row r="57" customFormat="1" ht="15" x14ac:dyDescent="0.25"/>
    <row r="58" customFormat="1" ht="15" x14ac:dyDescent="0.25"/>
    <row r="59" customFormat="1" ht="15" x14ac:dyDescent="0.25"/>
    <row r="60" customFormat="1" ht="15" x14ac:dyDescent="0.25"/>
    <row r="61" customFormat="1" ht="15" x14ac:dyDescent="0.25"/>
    <row r="62" customFormat="1" ht="15" x14ac:dyDescent="0.25"/>
    <row r="63" customFormat="1" ht="15" x14ac:dyDescent="0.25"/>
    <row r="64" customFormat="1" ht="15" x14ac:dyDescent="0.25"/>
    <row r="65" customFormat="1" ht="15" x14ac:dyDescent="0.25"/>
    <row r="66" customFormat="1" ht="15" x14ac:dyDescent="0.25"/>
    <row r="67" customFormat="1" ht="15" x14ac:dyDescent="0.25"/>
    <row r="68" customFormat="1" ht="15" x14ac:dyDescent="0.25"/>
    <row r="69" customFormat="1" ht="15" x14ac:dyDescent="0.25"/>
    <row r="70" customFormat="1" ht="15" x14ac:dyDescent="0.25"/>
    <row r="71" customFormat="1" ht="15" x14ac:dyDescent="0.25"/>
    <row r="72" customFormat="1" ht="15" x14ac:dyDescent="0.25"/>
    <row r="73" customFormat="1" ht="15" x14ac:dyDescent="0.25"/>
    <row r="74" customFormat="1" ht="15" x14ac:dyDescent="0.25"/>
    <row r="75" customFormat="1" ht="15" x14ac:dyDescent="0.25"/>
    <row r="76" customFormat="1" ht="15" x14ac:dyDescent="0.25"/>
    <row r="77" customFormat="1" ht="15" x14ac:dyDescent="0.25"/>
    <row r="78" customFormat="1" ht="15" x14ac:dyDescent="0.25"/>
    <row r="79" customFormat="1" ht="15" x14ac:dyDescent="0.25"/>
    <row r="80" customFormat="1" ht="15" x14ac:dyDescent="0.25"/>
    <row r="81" customFormat="1" ht="15" x14ac:dyDescent="0.25"/>
    <row r="82" customFormat="1" ht="15" x14ac:dyDescent="0.25"/>
    <row r="83" customFormat="1" ht="15" x14ac:dyDescent="0.25"/>
    <row r="84" customFormat="1" ht="15" x14ac:dyDescent="0.25"/>
    <row r="85" customFormat="1" ht="15" x14ac:dyDescent="0.25"/>
    <row r="86" customFormat="1" ht="15" x14ac:dyDescent="0.25"/>
    <row r="87" customFormat="1" ht="15" x14ac:dyDescent="0.25"/>
    <row r="88" customFormat="1" ht="15" x14ac:dyDescent="0.25"/>
    <row r="89" customFormat="1" ht="15" x14ac:dyDescent="0.25"/>
    <row r="90" customFormat="1" ht="15" x14ac:dyDescent="0.25"/>
    <row r="91" customFormat="1" ht="15" x14ac:dyDescent="0.25"/>
    <row r="92" customFormat="1" ht="15" x14ac:dyDescent="0.25"/>
    <row r="93" customFormat="1" ht="15" x14ac:dyDescent="0.25"/>
    <row r="94" customFormat="1" ht="15" x14ac:dyDescent="0.25"/>
    <row r="95" customFormat="1" ht="15" x14ac:dyDescent="0.25"/>
    <row r="96" customFormat="1" ht="15" x14ac:dyDescent="0.25"/>
    <row r="97" spans="1:256" customFormat="1" ht="15" x14ac:dyDescent="0.25"/>
    <row r="98" spans="1:256" customFormat="1" ht="15" x14ac:dyDescent="0.25"/>
    <row r="99" spans="1:256" customFormat="1" ht="15" x14ac:dyDescent="0.25"/>
    <row r="100" spans="1:256" customFormat="1" ht="15" x14ac:dyDescent="0.25"/>
    <row r="101" spans="1:256" customFormat="1" ht="15" x14ac:dyDescent="0.25"/>
    <row r="102" spans="1:256" s="101" customFormat="1" x14ac:dyDescent="0.2">
      <c r="A102" s="102"/>
      <c r="B102" s="102"/>
      <c r="C102" s="103"/>
      <c r="D102" s="103"/>
      <c r="E102" s="104"/>
      <c r="F102" s="104"/>
      <c r="G102" s="103"/>
      <c r="H102" s="103"/>
      <c r="I102" s="103"/>
      <c r="J102" s="103"/>
      <c r="K102" s="103"/>
      <c r="L102" s="104"/>
      <c r="M102" s="103"/>
      <c r="N102" s="104"/>
      <c r="O102" s="103"/>
      <c r="P102" s="103"/>
      <c r="Q102" s="103"/>
      <c r="R102" s="103"/>
      <c r="S102" s="103"/>
      <c r="T102" s="104"/>
      <c r="U102" s="103"/>
      <c r="V102" s="104"/>
      <c r="W102" s="103"/>
      <c r="X102" s="103"/>
      <c r="Y102" s="103"/>
      <c r="Z102" s="103"/>
      <c r="AA102" s="103"/>
      <c r="AB102" s="102"/>
      <c r="AC102" s="102"/>
      <c r="AD102" s="60"/>
      <c r="AE102" s="60"/>
      <c r="AF102" s="60"/>
      <c r="AG102" s="60"/>
      <c r="AH102" s="60"/>
      <c r="AI102" s="60"/>
      <c r="AJ102" s="60"/>
      <c r="AK102" s="60"/>
      <c r="AL102" s="60"/>
      <c r="AM102" s="60"/>
      <c r="AN102" s="60"/>
      <c r="AO102" s="60"/>
      <c r="AP102" s="60"/>
      <c r="AQ102" s="60"/>
      <c r="AR102" s="60"/>
      <c r="AS102" s="60"/>
      <c r="AT102" s="60"/>
      <c r="AU102" s="60"/>
      <c r="AV102" s="60"/>
      <c r="AW102" s="60"/>
      <c r="AX102" s="60"/>
      <c r="AY102" s="60"/>
      <c r="AZ102" s="60"/>
      <c r="BA102" s="60"/>
      <c r="BB102" s="60"/>
      <c r="BC102" s="60"/>
      <c r="BD102" s="60"/>
      <c r="BE102" s="60"/>
      <c r="BF102" s="60"/>
      <c r="BG102" s="60"/>
      <c r="BH102" s="60"/>
      <c r="BI102" s="60"/>
      <c r="BJ102" s="60"/>
      <c r="BK102" s="60"/>
      <c r="BL102" s="60"/>
      <c r="BM102" s="60"/>
      <c r="BN102" s="60"/>
      <c r="BO102" s="60"/>
      <c r="BP102" s="60"/>
      <c r="BQ102" s="60"/>
      <c r="BR102" s="60"/>
      <c r="BS102" s="60"/>
      <c r="BT102" s="60"/>
      <c r="BU102" s="60"/>
      <c r="BV102" s="60"/>
      <c r="BW102" s="60"/>
      <c r="BX102" s="60"/>
      <c r="BY102" s="60"/>
      <c r="BZ102" s="60"/>
      <c r="CA102" s="60"/>
      <c r="CB102" s="60"/>
      <c r="CC102" s="60"/>
      <c r="CD102" s="60"/>
      <c r="CE102" s="60"/>
      <c r="CF102" s="60"/>
      <c r="CG102" s="60"/>
      <c r="CH102" s="60"/>
      <c r="CI102" s="60"/>
      <c r="CJ102" s="60"/>
      <c r="CK102" s="60"/>
      <c r="CL102" s="60"/>
      <c r="CM102" s="60"/>
      <c r="CN102" s="60"/>
      <c r="CO102" s="60"/>
      <c r="CP102" s="60"/>
      <c r="CQ102" s="60"/>
      <c r="CR102" s="60"/>
      <c r="CS102" s="60"/>
      <c r="CT102" s="60"/>
      <c r="CU102" s="60"/>
      <c r="CV102" s="60"/>
      <c r="CW102" s="60"/>
      <c r="CX102" s="60"/>
      <c r="CY102" s="60"/>
      <c r="CZ102" s="60"/>
      <c r="DA102" s="60"/>
      <c r="DB102" s="60"/>
      <c r="DC102" s="60"/>
      <c r="DD102" s="60"/>
      <c r="DE102" s="60"/>
      <c r="DF102" s="60"/>
      <c r="DG102" s="60"/>
      <c r="DH102" s="60"/>
      <c r="DI102" s="60"/>
      <c r="DJ102" s="60"/>
      <c r="DK102" s="60"/>
      <c r="DL102" s="60"/>
      <c r="DM102" s="60"/>
      <c r="DN102" s="60"/>
      <c r="DO102" s="60"/>
      <c r="DP102" s="60"/>
      <c r="DQ102" s="60"/>
      <c r="DR102" s="60"/>
      <c r="DS102" s="60"/>
      <c r="DT102" s="60"/>
      <c r="DU102" s="60"/>
      <c r="DV102" s="60"/>
      <c r="DW102" s="60"/>
      <c r="DX102" s="60"/>
      <c r="DY102" s="60"/>
      <c r="DZ102" s="60"/>
      <c r="EA102" s="60"/>
      <c r="EB102" s="60"/>
      <c r="EC102" s="60"/>
      <c r="ED102" s="60"/>
      <c r="EE102" s="60"/>
      <c r="EF102" s="60"/>
      <c r="EG102" s="60"/>
      <c r="EH102" s="60"/>
      <c r="EI102" s="60"/>
      <c r="EJ102" s="60"/>
      <c r="EK102" s="60"/>
      <c r="EL102" s="60"/>
      <c r="EM102" s="60"/>
      <c r="EN102" s="60"/>
      <c r="EO102" s="60"/>
      <c r="EP102" s="60"/>
      <c r="EQ102" s="60"/>
      <c r="ER102" s="60"/>
      <c r="ES102" s="60"/>
      <c r="ET102" s="60"/>
      <c r="EU102" s="60"/>
      <c r="EV102" s="60"/>
      <c r="EW102" s="60"/>
      <c r="EX102" s="60"/>
      <c r="EY102" s="60"/>
      <c r="EZ102" s="60"/>
      <c r="FA102" s="60"/>
      <c r="FB102" s="60"/>
      <c r="FC102" s="60"/>
      <c r="FD102" s="60"/>
      <c r="FE102" s="60"/>
      <c r="FF102" s="60"/>
      <c r="FG102" s="60"/>
      <c r="FH102" s="60"/>
      <c r="FI102" s="60"/>
      <c r="FJ102" s="60"/>
      <c r="FK102" s="60"/>
      <c r="FL102" s="60"/>
      <c r="FM102" s="60"/>
      <c r="FN102" s="60"/>
      <c r="FO102" s="60"/>
      <c r="FP102" s="60"/>
      <c r="FQ102" s="60"/>
      <c r="FR102" s="60"/>
      <c r="FS102" s="60"/>
      <c r="FT102" s="60"/>
      <c r="FU102" s="60"/>
      <c r="FV102" s="60"/>
      <c r="FW102" s="60"/>
      <c r="FX102" s="60"/>
      <c r="FY102" s="60"/>
      <c r="FZ102" s="60"/>
      <c r="GA102" s="60"/>
      <c r="GB102" s="60"/>
      <c r="GC102" s="60"/>
      <c r="GD102" s="60"/>
      <c r="GE102" s="60"/>
      <c r="GF102" s="60"/>
      <c r="GG102" s="60"/>
      <c r="GH102" s="60"/>
      <c r="GI102" s="60"/>
      <c r="GJ102" s="60"/>
      <c r="GK102" s="60"/>
      <c r="GL102" s="60"/>
      <c r="GM102" s="60"/>
      <c r="GN102" s="60"/>
      <c r="GO102" s="60"/>
      <c r="GP102" s="60"/>
      <c r="GQ102" s="60"/>
      <c r="GR102" s="60"/>
      <c r="GS102" s="60"/>
      <c r="GT102" s="60"/>
      <c r="GU102" s="60"/>
      <c r="GV102" s="60"/>
      <c r="GW102" s="60"/>
      <c r="GX102" s="60"/>
      <c r="GY102" s="60"/>
      <c r="GZ102" s="60"/>
      <c r="HA102" s="60"/>
      <c r="HB102" s="60"/>
      <c r="HC102" s="60"/>
      <c r="HD102" s="60"/>
      <c r="HE102" s="60"/>
      <c r="HF102" s="60"/>
      <c r="HG102" s="60"/>
      <c r="HH102" s="60"/>
      <c r="HI102" s="60"/>
      <c r="HJ102" s="60"/>
      <c r="HK102" s="60"/>
      <c r="HL102" s="60"/>
      <c r="HM102" s="60"/>
      <c r="HN102" s="60"/>
      <c r="HO102" s="60"/>
      <c r="HP102" s="60"/>
      <c r="HQ102" s="60"/>
      <c r="HR102" s="60"/>
      <c r="HS102" s="60"/>
      <c r="HT102" s="60"/>
      <c r="HU102" s="60"/>
      <c r="HV102" s="60"/>
      <c r="HW102" s="60"/>
      <c r="HX102" s="60"/>
      <c r="HY102" s="60"/>
      <c r="HZ102" s="60"/>
      <c r="IA102" s="60"/>
      <c r="IB102" s="60"/>
      <c r="IC102" s="60"/>
      <c r="ID102" s="60"/>
      <c r="IE102" s="60"/>
      <c r="IF102" s="60"/>
      <c r="IG102" s="60"/>
      <c r="IH102" s="60"/>
      <c r="II102" s="60"/>
      <c r="IJ102" s="60"/>
      <c r="IK102" s="60"/>
      <c r="IL102" s="60"/>
      <c r="IM102" s="60"/>
      <c r="IN102" s="60"/>
      <c r="IO102" s="60"/>
      <c r="IP102" s="60"/>
      <c r="IQ102" s="60"/>
      <c r="IR102" s="60"/>
      <c r="IS102" s="60"/>
      <c r="IT102" s="60"/>
      <c r="IU102" s="60"/>
      <c r="IV102" s="60"/>
    </row>
  </sheetData>
  <sheetProtection password="BD7D" sheet="1" objects="1" scenarios="1"/>
  <pageMargins left="0.7" right="0.7" top="0.75" bottom="0.75" header="0.3" footer="0.3"/>
  <pageSetup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V53"/>
  <sheetViews>
    <sheetView workbookViewId="0">
      <selection activeCell="F11" sqref="F11:R11"/>
    </sheetView>
  </sheetViews>
  <sheetFormatPr defaultRowHeight="15" x14ac:dyDescent="0.25"/>
  <sheetData>
    <row r="1" spans="1:22" x14ac:dyDescent="0.25">
      <c r="A1" t="s">
        <v>23</v>
      </c>
    </row>
    <row r="2" spans="1:22" x14ac:dyDescent="0.25">
      <c r="A2" t="s">
        <v>37</v>
      </c>
      <c r="B2" t="s">
        <v>36</v>
      </c>
      <c r="F2" s="5"/>
      <c r="R2" s="2"/>
      <c r="S2" s="2" t="s">
        <v>37</v>
      </c>
      <c r="T2" s="2" t="s">
        <v>36</v>
      </c>
      <c r="U2" s="18" t="s">
        <v>36</v>
      </c>
      <c r="V2" s="19" t="s">
        <v>37</v>
      </c>
    </row>
    <row r="3" spans="1:22" x14ac:dyDescent="0.25">
      <c r="A3">
        <v>1</v>
      </c>
      <c r="B3" s="6">
        <v>1.000086991309487</v>
      </c>
      <c r="R3" s="2"/>
      <c r="S3" s="2">
        <v>1</v>
      </c>
      <c r="T3" s="2">
        <v>1</v>
      </c>
      <c r="U3" s="20">
        <f>0.578*EXP(0.548*S3)</f>
        <v>0.99981860614409568</v>
      </c>
      <c r="V3" s="21">
        <v>1</v>
      </c>
    </row>
    <row r="4" spans="1:22" x14ac:dyDescent="0.25">
      <c r="A4">
        <v>0.98</v>
      </c>
      <c r="B4" s="6">
        <v>0.98914631842418099</v>
      </c>
      <c r="R4" s="2"/>
      <c r="S4" s="2">
        <v>0.98</v>
      </c>
      <c r="T4" s="2"/>
      <c r="U4" s="20">
        <f t="shared" ref="U4:U53" si="0">0.578*EXP(0.548*S4)</f>
        <v>0.98892042534356772</v>
      </c>
      <c r="V4" s="21">
        <v>0.98</v>
      </c>
    </row>
    <row r="5" spans="1:22" x14ac:dyDescent="0.25">
      <c r="A5">
        <v>0.96</v>
      </c>
      <c r="B5" s="6">
        <v>0.97832533345024997</v>
      </c>
      <c r="R5" s="2"/>
      <c r="S5" s="2">
        <v>0.96</v>
      </c>
      <c r="T5" s="2"/>
      <c r="U5" s="20">
        <f t="shared" si="0"/>
        <v>0.97814103643592032</v>
      </c>
      <c r="V5" s="21">
        <v>0.96</v>
      </c>
    </row>
    <row r="6" spans="1:22" x14ac:dyDescent="0.25">
      <c r="A6">
        <v>0.94</v>
      </c>
      <c r="B6" s="6">
        <v>0.96762272703530983</v>
      </c>
      <c r="R6" s="2"/>
      <c r="S6" s="2">
        <v>0.94</v>
      </c>
      <c r="T6" s="2"/>
      <c r="U6" s="20">
        <f t="shared" si="0"/>
        <v>0.96747914457074924</v>
      </c>
      <c r="V6" s="21">
        <v>0.94</v>
      </c>
    </row>
    <row r="7" spans="1:22" x14ac:dyDescent="0.25">
      <c r="A7">
        <v>0.92</v>
      </c>
      <c r="B7" s="6">
        <v>0.95703720415092608</v>
      </c>
      <c r="R7" s="2"/>
      <c r="S7" s="2">
        <v>0.92</v>
      </c>
      <c r="T7" s="2"/>
      <c r="U7" s="20">
        <f t="shared" si="0"/>
        <v>0.95693346901172438</v>
      </c>
      <c r="V7" s="21">
        <v>0.92</v>
      </c>
    </row>
    <row r="8" spans="1:22" x14ac:dyDescent="0.25">
      <c r="A8">
        <v>0.9</v>
      </c>
      <c r="B8" s="6">
        <v>0.94656748393591439</v>
      </c>
      <c r="R8" s="2"/>
      <c r="S8" s="2">
        <v>0.9</v>
      </c>
      <c r="T8" s="2">
        <v>0.95</v>
      </c>
      <c r="U8" s="20">
        <f t="shared" si="0"/>
        <v>0.94650274298274395</v>
      </c>
      <c r="V8" s="21">
        <v>0.9</v>
      </c>
    </row>
    <row r="9" spans="1:22" x14ac:dyDescent="0.25">
      <c r="A9">
        <v>0.88</v>
      </c>
      <c r="B9" s="6">
        <v>0.93621229954135488</v>
      </c>
      <c r="R9" s="2"/>
      <c r="S9" s="2">
        <v>0.88</v>
      </c>
      <c r="T9" s="2"/>
      <c r="U9" s="20">
        <f t="shared" si="0"/>
        <v>0.93618571351576596</v>
      </c>
      <c r="V9" s="21">
        <v>0.88</v>
      </c>
    </row>
    <row r="10" spans="1:22" x14ac:dyDescent="0.25">
      <c r="A10">
        <v>0.86</v>
      </c>
      <c r="B10" s="6">
        <v>0.9259703979773013</v>
      </c>
      <c r="R10" s="2"/>
      <c r="S10" s="2">
        <v>0.86</v>
      </c>
      <c r="T10" s="2"/>
      <c r="U10" s="20">
        <f t="shared" si="0"/>
        <v>0.92598114130029796</v>
      </c>
      <c r="V10" s="21">
        <v>0.86</v>
      </c>
    </row>
    <row r="11" spans="1:22" x14ac:dyDescent="0.25">
      <c r="A11">
        <v>0.84</v>
      </c>
      <c r="B11" s="6">
        <v>0.91584053996116876</v>
      </c>
      <c r="R11" s="2"/>
      <c r="S11" s="2">
        <v>0.84</v>
      </c>
      <c r="T11" s="2"/>
      <c r="U11" s="20">
        <f t="shared" si="0"/>
        <v>0.91588780053452756</v>
      </c>
      <c r="V11" s="21">
        <v>0.84</v>
      </c>
    </row>
    <row r="12" spans="1:22" x14ac:dyDescent="0.25">
      <c r="A12">
        <v>0.82</v>
      </c>
      <c r="B12" s="6">
        <v>0.9058214997677777</v>
      </c>
      <c r="R12" s="2"/>
      <c r="S12" s="2">
        <v>0.82</v>
      </c>
      <c r="T12" s="2"/>
      <c r="U12" s="20">
        <f t="shared" si="0"/>
        <v>0.90590447877807645</v>
      </c>
      <c r="V12" s="21">
        <v>0.82</v>
      </c>
    </row>
    <row r="13" spans="1:22" x14ac:dyDescent="0.25">
      <c r="A13">
        <v>0.8</v>
      </c>
      <c r="B13" s="6">
        <v>0.89591206508104093</v>
      </c>
      <c r="R13" s="2"/>
      <c r="S13" s="2">
        <v>0.8</v>
      </c>
      <c r="T13" s="2">
        <v>0.9</v>
      </c>
      <c r="U13" s="20">
        <f t="shared" si="0"/>
        <v>0.8960299768063571</v>
      </c>
      <c r="V13" s="21">
        <v>0.8</v>
      </c>
    </row>
    <row r="14" spans="1:22" x14ac:dyDescent="0.25">
      <c r="A14">
        <v>0.78</v>
      </c>
      <c r="B14" s="6">
        <v>0.88611103684727066</v>
      </c>
      <c r="R14" s="2"/>
      <c r="S14" s="2">
        <v>0.78</v>
      </c>
      <c r="T14" s="2"/>
      <c r="U14" s="20">
        <f t="shared" si="0"/>
        <v>0.88626310846652034</v>
      </c>
      <c r="V14" s="21">
        <v>0.78</v>
      </c>
    </row>
    <row r="15" spans="1:22" x14ac:dyDescent="0.25">
      <c r="A15">
        <v>0.76</v>
      </c>
      <c r="B15" s="6">
        <v>0.87641722913009235</v>
      </c>
      <c r="R15" s="2"/>
      <c r="S15" s="2">
        <v>0.76</v>
      </c>
      <c r="T15" s="2"/>
      <c r="U15" s="20">
        <f t="shared" si="0"/>
        <v>0.87660270053497014</v>
      </c>
      <c r="V15" s="21">
        <v>0.76</v>
      </c>
    </row>
    <row r="16" spans="1:22" x14ac:dyDescent="0.25">
      <c r="A16">
        <v>0.74</v>
      </c>
      <c r="B16" s="6">
        <v>0.86682946896694535</v>
      </c>
      <c r="R16" s="2"/>
      <c r="S16" s="2">
        <v>0.74</v>
      </c>
      <c r="T16" s="2"/>
      <c r="U16" s="20">
        <f t="shared" si="0"/>
        <v>0.86704759257643271</v>
      </c>
      <c r="V16" s="21">
        <v>0.74</v>
      </c>
    </row>
    <row r="17" spans="1:22" x14ac:dyDescent="0.25">
      <c r="A17">
        <v>0.72</v>
      </c>
      <c r="B17" s="6">
        <v>0.85734659622715181</v>
      </c>
      <c r="R17" s="2"/>
      <c r="S17" s="2">
        <v>0.72</v>
      </c>
      <c r="T17" s="2"/>
      <c r="U17" s="20">
        <f t="shared" si="0"/>
        <v>0.857596636804563</v>
      </c>
      <c r="V17" s="21">
        <v>0.72</v>
      </c>
    </row>
    <row r="18" spans="1:22" x14ac:dyDescent="0.25">
      <c r="A18">
        <v>0.7</v>
      </c>
      <c r="B18" s="6">
        <v>0.84796746347154017</v>
      </c>
      <c r="R18" s="2"/>
      <c r="S18" s="2">
        <v>0.7</v>
      </c>
      <c r="T18" s="2"/>
      <c r="U18" s="20">
        <f t="shared" si="0"/>
        <v>0.84824869794406754</v>
      </c>
      <c r="V18" s="21">
        <v>0.7</v>
      </c>
    </row>
    <row r="19" spans="1:22" x14ac:dyDescent="0.25">
      <c r="A19">
        <v>0.68</v>
      </c>
      <c r="B19" s="6">
        <v>0.83869093581360388</v>
      </c>
      <c r="R19" s="2"/>
      <c r="S19" s="2">
        <v>0.68</v>
      </c>
      <c r="T19" s="2"/>
      <c r="U19" s="20">
        <f t="shared" si="0"/>
        <v>0.83900265309433353</v>
      </c>
      <c r="V19" s="21">
        <v>0.68</v>
      </c>
    </row>
    <row r="20" spans="1:22" x14ac:dyDescent="0.25">
      <c r="A20">
        <v>0.66</v>
      </c>
      <c r="B20" s="6">
        <v>0.8295158907821778</v>
      </c>
      <c r="R20" s="2"/>
      <c r="S20" s="2">
        <v>0.66</v>
      </c>
      <c r="T20" s="2"/>
      <c r="U20" s="20">
        <f t="shared" si="0"/>
        <v>0.82985739159454219</v>
      </c>
      <c r="V20" s="21">
        <v>0.66</v>
      </c>
    </row>
    <row r="21" spans="1:22" x14ac:dyDescent="0.25">
      <c r="A21">
        <v>0.64</v>
      </c>
      <c r="B21" s="6">
        <v>0.82044121818561921</v>
      </c>
      <c r="R21" s="2"/>
      <c r="S21" s="2">
        <v>0.64</v>
      </c>
      <c r="T21" s="2"/>
      <c r="U21" s="20">
        <f t="shared" si="0"/>
        <v>0.82081181489025312</v>
      </c>
      <c r="V21" s="21">
        <v>0.64</v>
      </c>
    </row>
    <row r="22" spans="1:22" x14ac:dyDescent="0.25">
      <c r="A22">
        <v>0.62</v>
      </c>
      <c r="B22" s="6">
        <v>0.81146581997747158</v>
      </c>
      <c r="R22" s="2"/>
      <c r="S22" s="2">
        <v>0.62</v>
      </c>
      <c r="T22" s="2"/>
      <c r="U22" s="20">
        <f t="shared" si="0"/>
        <v>0.81186483640144291</v>
      </c>
      <c r="V22" s="21">
        <v>0.62</v>
      </c>
    </row>
    <row r="23" spans="1:22" x14ac:dyDescent="0.25">
      <c r="A23">
        <v>0.6</v>
      </c>
      <c r="B23" s="6">
        <v>0.80258861012360116</v>
      </c>
      <c r="R23" s="2"/>
      <c r="S23" s="2">
        <v>0.6</v>
      </c>
      <c r="T23" s="2"/>
      <c r="U23" s="20">
        <f t="shared" si="0"/>
        <v>0.80301538139198225</v>
      </c>
      <c r="V23" s="21">
        <v>0.6</v>
      </c>
    </row>
    <row r="24" spans="1:22" x14ac:dyDescent="0.25">
      <c r="A24">
        <v>0.57999999999999996</v>
      </c>
      <c r="B24" s="6">
        <v>0.7938085144707846</v>
      </c>
      <c r="R24" s="2"/>
      <c r="S24" s="2">
        <v>0.57999999999999996</v>
      </c>
      <c r="T24" s="2"/>
      <c r="U24" s="20">
        <f t="shared" si="0"/>
        <v>0.79426238684053507</v>
      </c>
      <c r="V24" s="21">
        <v>0.57999999999999996</v>
      </c>
    </row>
    <row r="25" spans="1:22" x14ac:dyDescent="0.25">
      <c r="A25">
        <v>0.56000000000000005</v>
      </c>
      <c r="B25" s="6">
        <v>0.78512447061673563</v>
      </c>
      <c r="R25" s="2"/>
      <c r="S25" s="2">
        <v>0.56000000000000005</v>
      </c>
      <c r="T25" s="2"/>
      <c r="U25" s="20">
        <f t="shared" si="0"/>
        <v>0.78560480131286647</v>
      </c>
      <c r="V25" s="21">
        <v>0.56000000000000005</v>
      </c>
    </row>
    <row r="26" spans="1:22" x14ac:dyDescent="0.25">
      <c r="A26">
        <v>0.54</v>
      </c>
      <c r="B26" s="6">
        <v>0.77653542778155227</v>
      </c>
      <c r="R26" s="2"/>
      <c r="S26" s="2">
        <v>0.54</v>
      </c>
      <c r="T26" s="2"/>
      <c r="U26" s="20">
        <f t="shared" si="0"/>
        <v>0.7770415848355402</v>
      </c>
      <c r="V26" s="21">
        <v>0.54</v>
      </c>
    </row>
    <row r="27" spans="1:22" x14ac:dyDescent="0.25">
      <c r="A27">
        <v>0.52</v>
      </c>
      <c r="B27" s="6">
        <v>0.76804034668057231</v>
      </c>
      <c r="R27" s="2"/>
      <c r="S27" s="2">
        <v>0.52</v>
      </c>
      <c r="T27" s="2"/>
      <c r="U27" s="20">
        <f t="shared" si="0"/>
        <v>0.76857170877099545</v>
      </c>
      <c r="V27" s="21">
        <v>0.52</v>
      </c>
    </row>
    <row r="28" spans="1:22" x14ac:dyDescent="0.25">
      <c r="A28">
        <v>0.5</v>
      </c>
      <c r="B28" s="6">
        <v>0.75963819939861754</v>
      </c>
      <c r="R28" s="2"/>
      <c r="S28" s="2">
        <v>0.5</v>
      </c>
      <c r="T28" s="2">
        <v>0.76400000000000001</v>
      </c>
      <c r="U28" s="20">
        <f t="shared" si="0"/>
        <v>0.76019415569398263</v>
      </c>
      <c r="V28" s="21">
        <v>0.5</v>
      </c>
    </row>
    <row r="29" spans="1:22" x14ac:dyDescent="0.25">
      <c r="A29">
        <v>0.48</v>
      </c>
      <c r="B29" s="6">
        <v>0.75132796926561585</v>
      </c>
      <c r="R29" s="2"/>
      <c r="S29" s="2">
        <v>0.48</v>
      </c>
      <c r="T29" s="2"/>
      <c r="U29" s="20">
        <f t="shared" si="0"/>
        <v>0.75190791926934908</v>
      </c>
      <c r="V29" s="21">
        <v>0.48</v>
      </c>
    </row>
    <row r="30" spans="1:22" x14ac:dyDescent="0.25">
      <c r="A30">
        <v>0.46</v>
      </c>
      <c r="B30" s="6">
        <v>0.74310865073358168</v>
      </c>
      <c r="R30" s="2"/>
      <c r="S30" s="2">
        <v>0.46</v>
      </c>
      <c r="T30" s="2"/>
      <c r="U30" s="20">
        <f t="shared" si="0"/>
        <v>0.74371200413115335</v>
      </c>
      <c r="V30" s="21">
        <v>0.46</v>
      </c>
    </row>
    <row r="31" spans="1:22" x14ac:dyDescent="0.25">
      <c r="A31">
        <v>0.44</v>
      </c>
      <c r="B31" s="6">
        <v>0.7349792492549444</v>
      </c>
      <c r="R31" s="2"/>
      <c r="S31" s="2">
        <v>0.44</v>
      </c>
      <c r="T31" s="2"/>
      <c r="U31" s="20">
        <f t="shared" si="0"/>
        <v>0.73560542576310073</v>
      </c>
      <c r="V31" s="21">
        <v>0.44</v>
      </c>
    </row>
    <row r="32" spans="1:22" x14ac:dyDescent="0.25">
      <c r="A32">
        <v>0.42</v>
      </c>
      <c r="B32" s="6">
        <v>0.72693878116220645</v>
      </c>
      <c r="R32" s="2"/>
      <c r="S32" s="2">
        <v>0.42</v>
      </c>
      <c r="T32" s="2"/>
      <c r="U32" s="20">
        <f t="shared" si="0"/>
        <v>0.7275872103802794</v>
      </c>
      <c r="V32" s="21">
        <v>0.42</v>
      </c>
    </row>
    <row r="33" spans="1:22" x14ac:dyDescent="0.25">
      <c r="A33">
        <v>0.4</v>
      </c>
      <c r="B33" s="6">
        <v>0.71898627354891864</v>
      </c>
      <c r="R33" s="2"/>
      <c r="S33" s="2">
        <v>0.4</v>
      </c>
      <c r="T33" s="2"/>
      <c r="U33" s="20">
        <f t="shared" si="0"/>
        <v>0.71965639481218702</v>
      </c>
      <c r="V33" s="21">
        <v>0.4</v>
      </c>
    </row>
    <row r="34" spans="1:22" x14ac:dyDescent="0.25">
      <c r="A34">
        <v>0.37999999999999901</v>
      </c>
      <c r="B34" s="6">
        <v>0.71112076415195657</v>
      </c>
      <c r="R34" s="2"/>
      <c r="S34" s="2">
        <v>0.37999999999999901</v>
      </c>
      <c r="T34" s="2"/>
      <c r="U34" s="20">
        <f t="shared" si="0"/>
        <v>0.71181202638703167</v>
      </c>
      <c r="V34" s="21">
        <v>0.37999999999999901</v>
      </c>
    </row>
    <row r="35" spans="1:22" x14ac:dyDescent="0.25">
      <c r="A35">
        <v>0.35999999999999899</v>
      </c>
      <c r="B35" s="6">
        <v>0.70334130123508742</v>
      </c>
      <c r="R35" s="2"/>
      <c r="S35" s="2">
        <v>0.35999999999999899</v>
      </c>
      <c r="T35" s="2"/>
      <c r="U35" s="20">
        <f t="shared" si="0"/>
        <v>0.70405316281729513</v>
      </c>
      <c r="V35" s="21">
        <v>0.35999999999999899</v>
      </c>
    </row>
    <row r="36" spans="1:22" x14ac:dyDescent="0.25">
      <c r="A36">
        <v>0.33999999999999903</v>
      </c>
      <c r="B36" s="6">
        <v>0.69564694347380618</v>
      </c>
      <c r="R36" s="2"/>
      <c r="S36" s="2">
        <v>0.33999999999999903</v>
      </c>
      <c r="T36" s="2"/>
      <c r="U36" s="20">
        <f t="shared" si="0"/>
        <v>0.69637887208654181</v>
      </c>
      <c r="V36" s="21">
        <v>0.33999999999999903</v>
      </c>
    </row>
    <row r="37" spans="1:22" x14ac:dyDescent="0.25">
      <c r="A37">
        <v>0.31999999999999901</v>
      </c>
      <c r="B37" s="6">
        <v>0.68803675984143586</v>
      </c>
      <c r="R37" s="2"/>
      <c r="S37" s="2">
        <v>0.31999999999999901</v>
      </c>
      <c r="T37" s="2"/>
      <c r="U37" s="20">
        <f t="shared" si="0"/>
        <v>0.68878823233746223</v>
      </c>
      <c r="V37" s="21">
        <v>0.31999999999999901</v>
      </c>
    </row>
    <row r="38" spans="1:22" x14ac:dyDescent="0.25">
      <c r="A38">
        <v>0.29999999999999899</v>
      </c>
      <c r="B38" s="6">
        <v>0.68050982949647199</v>
      </c>
      <c r="R38" s="2"/>
      <c r="S38" s="2">
        <v>0.29999999999999899</v>
      </c>
      <c r="T38" s="2">
        <v>0.68</v>
      </c>
      <c r="U38" s="20">
        <f t="shared" si="0"/>
        <v>0.68128033176113723</v>
      </c>
      <c r="V38" s="21">
        <v>0.29999999999999899</v>
      </c>
    </row>
    <row r="39" spans="1:22" x14ac:dyDescent="0.25">
      <c r="A39">
        <v>0.27999999999999903</v>
      </c>
      <c r="B39" s="6">
        <v>0.67306524167115922</v>
      </c>
      <c r="R39" s="2"/>
      <c r="S39" s="2">
        <v>0.27999999999999903</v>
      </c>
      <c r="T39" s="2"/>
      <c r="U39" s="20">
        <f t="shared" si="0"/>
        <v>0.67385426848750929</v>
      </c>
      <c r="V39" s="21">
        <v>0.27999999999999903</v>
      </c>
    </row>
    <row r="40" spans="1:22" x14ac:dyDescent="0.25">
      <c r="A40">
        <v>0.25999999999999901</v>
      </c>
      <c r="B40" s="6">
        <v>0.66570209556128757</v>
      </c>
      <c r="R40" s="2"/>
      <c r="S40" s="2">
        <v>0.25999999999999901</v>
      </c>
      <c r="T40" s="2"/>
      <c r="U40" s="20">
        <f t="shared" si="0"/>
        <v>0.66650915047704695</v>
      </c>
      <c r="V40" s="21">
        <v>0.25999999999999901</v>
      </c>
    </row>
    <row r="41" spans="1:22" x14ac:dyDescent="0.25">
      <c r="A41">
        <v>0.23999999999999899</v>
      </c>
      <c r="B41" s="6">
        <v>0.6584195002171942</v>
      </c>
      <c r="R41" s="2"/>
      <c r="S41" s="2">
        <v>0.23999999999999899</v>
      </c>
      <c r="T41" s="2"/>
      <c r="U41" s="20">
        <f t="shared" si="0"/>
        <v>0.65924409541359053</v>
      </c>
      <c r="V41" s="21">
        <v>0.23999999999999899</v>
      </c>
    </row>
    <row r="42" spans="1:22" x14ac:dyDescent="0.25">
      <c r="A42">
        <v>0.219999999999999</v>
      </c>
      <c r="B42" s="6">
        <v>0.65121657443595704</v>
      </c>
      <c r="R42" s="2"/>
      <c r="S42" s="2">
        <v>0.219999999999999</v>
      </c>
      <c r="T42" s="2"/>
      <c r="U42" s="20">
        <f t="shared" si="0"/>
        <v>0.65205823059836598</v>
      </c>
      <c r="V42" s="21">
        <v>0.219999999999999</v>
      </c>
    </row>
    <row r="43" spans="1:22" x14ac:dyDescent="0.25">
      <c r="A43">
        <v>0.19999999999999901</v>
      </c>
      <c r="B43" s="6">
        <v>0.64409244665476828</v>
      </c>
      <c r="R43" s="2"/>
      <c r="S43" s="2">
        <v>0.19999999999999901</v>
      </c>
      <c r="T43" s="2"/>
      <c r="U43" s="20">
        <f t="shared" si="0"/>
        <v>0.64495069284515349</v>
      </c>
      <c r="V43" s="21">
        <v>0.19999999999999901</v>
      </c>
    </row>
    <row r="44" spans="1:22" x14ac:dyDescent="0.25">
      <c r="A44">
        <v>0.17999999999999899</v>
      </c>
      <c r="B44" s="6">
        <v>0.63704625484547439</v>
      </c>
      <c r="R44" s="2"/>
      <c r="S44" s="2">
        <v>0.17999999999999899</v>
      </c>
      <c r="T44" s="2"/>
      <c r="U44" s="20">
        <f t="shared" si="0"/>
        <v>0.63792062837660013</v>
      </c>
      <c r="V44" s="21">
        <v>0.17999999999999899</v>
      </c>
    </row>
    <row r="45" spans="1:22" x14ac:dyDescent="0.25">
      <c r="A45">
        <v>0.159999999999999</v>
      </c>
      <c r="B45" s="6">
        <v>0.63007714641026957</v>
      </c>
      <c r="R45" s="2"/>
      <c r="S45" s="2">
        <v>0.159999999999999</v>
      </c>
      <c r="T45" s="2"/>
      <c r="U45" s="20">
        <f t="shared" si="0"/>
        <v>0.63096719272166035</v>
      </c>
      <c r="V45" s="21">
        <v>0.159999999999999</v>
      </c>
    </row>
    <row r="46" spans="1:22" x14ac:dyDescent="0.25">
      <c r="A46">
        <v>0.13999999999999899</v>
      </c>
      <c r="B46" s="6">
        <v>0.62318427807853005</v>
      </c>
      <c r="R46" s="2"/>
      <c r="S46" s="2">
        <v>0.13999999999999899</v>
      </c>
      <c r="T46" s="2"/>
      <c r="U46" s="20">
        <f t="shared" si="0"/>
        <v>0.62408955061415672</v>
      </c>
      <c r="V46" s="21">
        <v>0.13999999999999899</v>
      </c>
    </row>
    <row r="47" spans="1:22" x14ac:dyDescent="0.25">
      <c r="A47">
        <v>0.119999999999999</v>
      </c>
      <c r="B47" s="6">
        <v>0.6163668158047777</v>
      </c>
      <c r="R47" s="2"/>
      <c r="S47" s="2">
        <v>0.119999999999999</v>
      </c>
      <c r="T47" s="2"/>
      <c r="U47" s="20">
        <f t="shared" si="0"/>
        <v>0.61728687589244524</v>
      </c>
      <c r="V47" s="21">
        <v>0.119999999999999</v>
      </c>
    </row>
    <row r="48" spans="1:22" x14ac:dyDescent="0.25">
      <c r="A48">
        <v>9.9999999999999006E-2</v>
      </c>
      <c r="B48" s="6">
        <v>0.60962393466775977</v>
      </c>
      <c r="R48" s="2"/>
      <c r="S48" s="2">
        <v>9.9999999999999006E-2</v>
      </c>
      <c r="T48" s="2">
        <v>0.61</v>
      </c>
      <c r="U48" s="20">
        <f t="shared" si="0"/>
        <v>0.61055835140017412</v>
      </c>
      <c r="V48" s="21">
        <v>9.9999999999999006E-2</v>
      </c>
    </row>
    <row r="49" spans="1:22" x14ac:dyDescent="0.25">
      <c r="A49">
        <v>7.9999999999999002E-2</v>
      </c>
      <c r="B49" s="6">
        <v>0.60295481877063162</v>
      </c>
      <c r="R49" s="2"/>
      <c r="S49" s="2">
        <v>7.9999999999999002E-2</v>
      </c>
      <c r="T49" s="2"/>
      <c r="U49" s="20">
        <f t="shared" si="0"/>
        <v>0.60390316888812523</v>
      </c>
      <c r="V49" s="21">
        <v>7.9999999999999002E-2</v>
      </c>
    </row>
    <row r="50" spans="1:22" x14ac:dyDescent="0.25">
      <c r="A50">
        <v>5.9999999999998901E-2</v>
      </c>
      <c r="B50" s="6">
        <v>0.5963586611422329</v>
      </c>
      <c r="R50" s="2"/>
      <c r="S50" s="2">
        <v>5.9999999999998901E-2</v>
      </c>
      <c r="T50" s="2"/>
      <c r="U50" s="20">
        <f t="shared" si="0"/>
        <v>0.59732052891712428</v>
      </c>
      <c r="V50" s="21">
        <v>5.9999999999998901E-2</v>
      </c>
    </row>
    <row r="51" spans="1:22" x14ac:dyDescent="0.25">
      <c r="A51">
        <v>3.9999999999998898E-2</v>
      </c>
      <c r="B51" s="6">
        <v>0.58983466363944237</v>
      </c>
      <c r="R51" s="2"/>
      <c r="S51" s="2">
        <v>3.9999999999998898E-2</v>
      </c>
      <c r="T51" s="2"/>
      <c r="U51" s="20">
        <f t="shared" si="0"/>
        <v>0.59080964076201059</v>
      </c>
      <c r="V51" s="21">
        <v>3.9999999999998898E-2</v>
      </c>
    </row>
    <row r="52" spans="1:22" x14ac:dyDescent="0.25">
      <c r="A52">
        <v>1.9999999999999001E-2</v>
      </c>
      <c r="B52" s="6">
        <v>0.58338203685060286</v>
      </c>
      <c r="R52" s="2"/>
      <c r="S52" s="2">
        <v>1.9999999999999001E-2</v>
      </c>
      <c r="T52" s="2">
        <v>0.59</v>
      </c>
      <c r="U52" s="20">
        <f t="shared" si="0"/>
        <v>0.58436972231665296</v>
      </c>
      <c r="V52" s="21">
        <v>1.9999999999999001E-2</v>
      </c>
    </row>
    <row r="53" spans="1:22" x14ac:dyDescent="0.25">
      <c r="A53">
        <v>0</v>
      </c>
      <c r="B53" s="6">
        <v>0.57699999999999996</v>
      </c>
      <c r="R53" s="2"/>
      <c r="S53" s="2">
        <v>0</v>
      </c>
      <c r="T53" s="2">
        <v>0.57699999999999996</v>
      </c>
      <c r="U53" s="20">
        <f t="shared" si="0"/>
        <v>0.57799999999999996</v>
      </c>
      <c r="V53" s="22">
        <v>0</v>
      </c>
    </row>
  </sheetData>
  <sheetProtection password="BD7D" sheet="1" objects="1" scenarios="1"/>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General Document" ma:contentTypeID="0x010100404842DB1C82EF43A906826C7ABE80A90400235961338D2AE143B17B3D358A42B540" ma:contentTypeVersion="6" ma:contentTypeDescription="BPA Documents that do not have a specific content type defined." ma:contentTypeScope="" ma:versionID="3e58565faaa5ec38051bb6c5ed8ae7f8">
  <xsd:schema xmlns:xsd="http://www.w3.org/2001/XMLSchema" xmlns:xs="http://www.w3.org/2001/XMLSchema" xmlns:p="http://schemas.microsoft.com/office/2006/metadata/properties" xmlns:ns1="http://schemas.microsoft.com/sharepoint/v3" xmlns:ns2="http://schemas.microsoft.com/sharepoint/v3/fields" xmlns:ns3="e22c7409-3fd3-409a-a4a6-6ab0ea51d687" targetNamespace="http://schemas.microsoft.com/office/2006/metadata/properties" ma:root="true" ma:fieldsID="8e861c2bbeb9227cbae6298dc62eb115" ns1:_="" ns2:_="" ns3:_="">
    <xsd:import namespace="http://schemas.microsoft.com/sharepoint/v3"/>
    <xsd:import namespace="http://schemas.microsoft.com/sharepoint/v3/fields"/>
    <xsd:import namespace="e22c7409-3fd3-409a-a4a6-6ab0ea51d687"/>
    <xsd:element name="properties">
      <xsd:complexType>
        <xsd:sequence>
          <xsd:element name="documentManagement">
            <xsd:complexType>
              <xsd:all>
                <xsd:element ref="ns2:_Relation" minOccurs="0"/>
                <xsd:element ref="ns2:_Contributor" minOccurs="0"/>
                <xsd:element ref="ns2:_Coverage" minOccurs="0"/>
                <xsd:element ref="ns2:_Format" minOccurs="0"/>
                <xsd:element ref="ns1:Language" minOccurs="0"/>
                <xsd:element ref="ns2:_Publisher" minOccurs="0"/>
                <xsd:element ref="ns2:_Identifier" minOccurs="0"/>
                <xsd:element ref="ns2:_ResourceType"/>
                <xsd:element ref="ns2:_Source" minOccurs="0"/>
                <xsd:element ref="ns2:_DCDateCreated" minOccurs="0"/>
                <xsd:element ref="ns2:_DCDateModified" minOccurs="0"/>
                <xsd:element ref="ns3:pb95b497b12c48a38c5a5dfead4fe67f" minOccurs="0"/>
                <xsd:element ref="ns3:TaxCatchAll" minOccurs="0"/>
                <xsd:element ref="ns3:TaxCatchAllLabe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4" nillable="true" ma:displayName="Language" ma:default="English" ma:internalName="Language">
      <xsd:simpleType>
        <xsd:union memberTypes="dms:Text">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un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Relation" ma:index="8" nillable="true" ma:displayName="Relation" ma:description="References to related resources" ma:internalName="_Relation">
      <xsd:simpleType>
        <xsd:restriction base="dms:Note">
          <xsd:maxLength value="255"/>
        </xsd:restriction>
      </xsd:simpleType>
    </xsd:element>
    <xsd:element name="_Contributor" ma:index="9" nillable="true" ma:displayName="Contributor" ma:description="One or more people or organizations that contributed to this resource" ma:internalName="_Contributor">
      <xsd:simpleType>
        <xsd:restriction base="dms:Note">
          <xsd:maxLength value="255"/>
        </xsd:restriction>
      </xsd:simpleType>
    </xsd:element>
    <xsd:element name="_Coverage" ma:index="10" nillable="true" ma:displayName="Coverage" ma:description="The extent or scope" ma:internalName="_Coverage">
      <xsd:simpleType>
        <xsd:restriction base="dms:Text"/>
      </xsd:simpleType>
    </xsd:element>
    <xsd:element name="_Format" ma:index="13" nillable="true" ma:displayName="Format" ma:description="Media-type, file format or dimensions" ma:internalName="_Format">
      <xsd:simpleType>
        <xsd:restriction base="dms:Text"/>
      </xsd:simpleType>
    </xsd:element>
    <xsd:element name="_Publisher" ma:index="15" nillable="true" ma:displayName="Publisher" ma:description="The person, organization or service that published this resource" ma:internalName="_Publisher">
      <xsd:simpleType>
        <xsd:restriction base="dms:Text"/>
      </xsd:simpleType>
    </xsd:element>
    <xsd:element name="_Identifier" ma:index="16" nillable="true" ma:displayName="Resource Identifier" ma:description="An identifying string or number, usually conforming to a formal identification system" ma:internalName="_Identifier">
      <xsd:simpleType>
        <xsd:restriction base="dms:Text"/>
      </xsd:simpleType>
    </xsd:element>
    <xsd:element name="_ResourceType" ma:index="17" ma:displayName="Resource Type" ma:description="A set of categories, functions, genres or aggregation levels" ma:internalName="_ResourceType" ma:readOnly="false">
      <xsd:simpleType>
        <xsd:restriction base="dms:Text"/>
      </xsd:simpleType>
    </xsd:element>
    <xsd:element name="_Source" ma:index="18" nillable="true" ma:displayName="Source" ma:description="References to resources from which this resource was derived" ma:internalName="_Source">
      <xsd:simpleType>
        <xsd:restriction base="dms:Note">
          <xsd:maxLength value="255"/>
        </xsd:restriction>
      </xsd:simpleType>
    </xsd:element>
    <xsd:element name="_DCDateCreated" ma:index="19" nillable="true" ma:displayName="Date Created" ma:description="The date on which this resource was created" ma:format="DateTime" ma:internalName="_DCDateCreated">
      <xsd:simpleType>
        <xsd:restriction base="dms:DateTime"/>
      </xsd:simpleType>
    </xsd:element>
    <xsd:element name="_DCDateModified" ma:index="20" nillable="true" ma:displayName="Date Modified" ma:description="The date on which this resource was last modified" ma:format="DateTime" ma:internalName="_DCDateModified">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e22c7409-3fd3-409a-a4a6-6ab0ea51d687" elementFormDefault="qualified">
    <xsd:import namespace="http://schemas.microsoft.com/office/2006/documentManagement/types"/>
    <xsd:import namespace="http://schemas.microsoft.com/office/infopath/2007/PartnerControls"/>
    <xsd:element name="pb95b497b12c48a38c5a5dfead4fe67f" ma:index="21" ma:taxonomy="true" ma:internalName="pb95b497b12c48a38c5a5dfead4fe67f" ma:taxonomyFieldName="Tags" ma:displayName="Tags" ma:readOnly="false" ma:default="" ma:fieldId="{9b95b497-b12c-48a3-8c5a-5dfead4fe67f}" ma:taxonomyMulti="true" ma:sspId="d95bfaeb-d21c-407f-a59f-76a7cca530c2" ma:termSetId="7721fb43-69da-41c8-8f20-dab2ccd6cc4e" ma:anchorId="00000000-0000-0000-0000-000000000000" ma:open="false" ma:isKeyword="false">
      <xsd:complexType>
        <xsd:sequence>
          <xsd:element ref="pc:Terms" minOccurs="0" maxOccurs="1"/>
        </xsd:sequence>
      </xsd:complexType>
    </xsd:element>
    <xsd:element name="TaxCatchAll" ma:index="22" nillable="true" ma:displayName="Taxonomy Catch All Column" ma:hidden="true" ma:list="{577f0b94-768c-4362-8994-1f14373be3ed}" ma:internalName="TaxCatchAll" ma:showField="CatchAllData" ma:web="48d172a2-2dac-438c-8a85-36dabc38d507">
      <xsd:complexType>
        <xsd:complexContent>
          <xsd:extension base="dms:MultiChoiceLookup">
            <xsd:sequence>
              <xsd:element name="Value" type="dms:Lookup" maxOccurs="unbounded" minOccurs="0" nillable="true"/>
            </xsd:sequence>
          </xsd:extension>
        </xsd:complexContent>
      </xsd:complexType>
    </xsd:element>
    <xsd:element name="TaxCatchAllLabel" ma:index="23" nillable="true" ma:displayName="Taxonomy Catch All Column1" ma:hidden="true" ma:list="{577f0b94-768c-4362-8994-1f14373be3ed}" ma:internalName="TaxCatchAllLabel" ma:readOnly="true" ma:showField="CatchAllDataLabel" ma:web="48d172a2-2dac-438c-8a85-36dabc38d50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ma:index="11" ma:displayName="Author"/>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ma:index="12" ma:displayName="Comments"/>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anguage xmlns="http://schemas.microsoft.com/sharepoint/v3">English</Language>
    <_Source xmlns="http://schemas.microsoft.com/sharepoint/v3/fields" xsi:nil="true"/>
    <_DCDateModified xmlns="http://schemas.microsoft.com/sharepoint/v3/fields" xsi:nil="true"/>
    <_Publisher xmlns="http://schemas.microsoft.com/sharepoint/v3/fields" xsi:nil="true"/>
    <_Relation xmlns="http://schemas.microsoft.com/sharepoint/v3/fields" xsi:nil="true"/>
    <_Contributor xmlns="http://schemas.microsoft.com/sharepoint/v3/fields" xsi:nil="true"/>
    <_Format xmlns="http://schemas.microsoft.com/sharepoint/v3/fields" xsi:nil="true"/>
    <pb95b497b12c48a38c5a5dfead4fe67f xmlns="e22c7409-3fd3-409a-a4a6-6ab0ea51d687">
      <Terms xmlns="http://schemas.microsoft.com/office/infopath/2007/PartnerControls">
        <TermInfo xmlns="http://schemas.microsoft.com/office/infopath/2007/PartnerControls">
          <TermName xmlns="http://schemas.microsoft.com/office/infopath/2007/PartnerControls">Energy Efficiency</TermName>
          <TermId xmlns="http://schemas.microsoft.com/office/infopath/2007/PartnerControls">7d88f299-fa2d-4d2a-99d9-9b08652f27c4</TermId>
        </TermInfo>
      </Terms>
    </pb95b497b12c48a38c5a5dfead4fe67f>
    <_Coverage xmlns="http://schemas.microsoft.com/sharepoint/v3/fields" xsi:nil="true"/>
    <_Identifier xmlns="http://schemas.microsoft.com/sharepoint/v3/fields" xsi:nil="true"/>
    <_ResourceType xmlns="http://schemas.microsoft.com/sharepoint/v3/fields">Document</_ResourceType>
    <TaxCatchAll xmlns="e22c7409-3fd3-409a-a4a6-6ab0ea51d687">
      <Value>16</Value>
    </TaxCatchAll>
    <_DCDateCreated xmlns="http://schemas.microsoft.com/sharepoint/v3/fields" xsi:nil="true"/>
  </documentManagement>
</p:properties>
</file>

<file path=customXml/itemProps1.xml><?xml version="1.0" encoding="utf-8"?>
<ds:datastoreItem xmlns:ds="http://schemas.openxmlformats.org/officeDocument/2006/customXml" ds:itemID="{A3E35A8C-9B76-4B89-A391-A2BC4DA04D00}">
  <ds:schemaRefs>
    <ds:schemaRef ds:uri="http://schemas.microsoft.com/sharepoint/v3/contenttype/forms"/>
  </ds:schemaRefs>
</ds:datastoreItem>
</file>

<file path=customXml/itemProps2.xml><?xml version="1.0" encoding="utf-8"?>
<ds:datastoreItem xmlns:ds="http://schemas.openxmlformats.org/officeDocument/2006/customXml" ds:itemID="{A3D37E97-2B9F-4B32-A87D-F4C5B8C75CA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http://schemas.microsoft.com/sharepoint/v3/fields"/>
    <ds:schemaRef ds:uri="e22c7409-3fd3-409a-a4a6-6ab0ea51d68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5F51F5D-61B8-437B-8561-ABEB3B7B334E}">
  <ds:schemaRefs>
    <ds:schemaRef ds:uri="http://schemas.microsoft.com/office/2006/metadata/properties"/>
    <ds:schemaRef ds:uri="http://schemas.microsoft.com/office/infopath/2007/PartnerControls"/>
    <ds:schemaRef ds:uri="http://schemas.microsoft.com/sharepoint/v3"/>
    <ds:schemaRef ds:uri="http://schemas.microsoft.com/sharepoint/v3/fields"/>
    <ds:schemaRef ds:uri="e22c7409-3fd3-409a-a4a6-6ab0ea51d687"/>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22</vt:i4>
      </vt:variant>
      <vt:variant>
        <vt:lpstr>Named Ranges</vt:lpstr>
      </vt:variant>
      <vt:variant>
        <vt:i4>6</vt:i4>
      </vt:variant>
    </vt:vector>
  </HeadingPairs>
  <TitlesOfParts>
    <vt:vector size="28" baseType="lpstr">
      <vt:lpstr>Instructions</vt:lpstr>
      <vt:lpstr>Summary</vt:lpstr>
      <vt:lpstr>Material R</vt:lpstr>
      <vt:lpstr>RC1</vt:lpstr>
      <vt:lpstr>RC2</vt:lpstr>
      <vt:lpstr>RC3</vt:lpstr>
      <vt:lpstr>RC4</vt:lpstr>
      <vt:lpstr>RC5</vt:lpstr>
      <vt:lpstr>RC6</vt:lpstr>
      <vt:lpstr>TF1</vt:lpstr>
      <vt:lpstr>TF2</vt:lpstr>
      <vt:lpstr>TF3</vt:lpstr>
      <vt:lpstr>TF4</vt:lpstr>
      <vt:lpstr>TF5</vt:lpstr>
      <vt:lpstr>TF6</vt:lpstr>
      <vt:lpstr>Revisions</vt:lpstr>
      <vt:lpstr>BPA Approval Status</vt:lpstr>
      <vt:lpstr>Lists</vt:lpstr>
      <vt:lpstr>Upload Build</vt:lpstr>
      <vt:lpstr>ProjectUpload</vt:lpstr>
      <vt:lpstr>MeasureUpload</vt:lpstr>
      <vt:lpstr>Distribution Factor</vt:lpstr>
      <vt:lpstr>ACSR</vt:lpstr>
      <vt:lpstr>ACSRT</vt:lpstr>
      <vt:lpstr>Aluminum</vt:lpstr>
      <vt:lpstr>AluminumT</vt:lpstr>
      <vt:lpstr>Copper</vt:lpstr>
      <vt:lpstr>CopperT</vt:lpstr>
    </vt:vector>
  </TitlesOfParts>
  <Company>BPA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Kelly,Nathan C (BPA) - PEJD-6</dc:creator>
  <dc:description/>
  <cp:lastModifiedBy>Mabee,Benjamin J (CONTR) - PEH-6</cp:lastModifiedBy>
  <cp:lastPrinted>2018-07-31T16:55:17Z</cp:lastPrinted>
  <dcterms:created xsi:type="dcterms:W3CDTF">2018-03-23T20:45:09Z</dcterms:created>
  <dcterms:modified xsi:type="dcterms:W3CDTF">2022-03-08T16:10:04Z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0x010100404842DB1C82EF43A906826C7ABE80A90400235961338D2AE143B17B3D358A42B540</vt:lpwstr>
  </property>
  <property fmtid="{D5CDD505-2E9C-101B-9397-08002B2CF9AE}" pid="3" name="Tags">
    <vt:lpwstr>16;#Energy Efficiency|7d88f299-fa2d-4d2a-99d9-9b08652f27c4</vt:lpwstr>
  </property>
  <property fmtid="{D5CDD505-2E9C-101B-9397-08002B2CF9AE}" pid="4" name="Order">
    <vt:r8>22500</vt:r8>
  </property>
  <property fmtid="{D5CDD505-2E9C-101B-9397-08002B2CF9AE}" pid="5" name="xd_Signature">
    <vt:bool>false</vt:bool>
  </property>
  <property fmtid="{D5CDD505-2E9C-101B-9397-08002B2CF9AE}" pid="6" name="xd_ProgID">
    <vt:lpwstr/>
  </property>
  <property fmtid="{D5CDD505-2E9C-101B-9397-08002B2CF9AE}" pid="7" name="_SourceUrl">
    <vt:lpwstr/>
  </property>
  <property fmtid="{D5CDD505-2E9C-101B-9397-08002B2CF9AE}" pid="8" name="_SharedFileIndex">
    <vt:lpwstr/>
  </property>
  <property fmtid="{D5CDD505-2E9C-101B-9397-08002B2CF9AE}" pid="9" name="TemplateUrl">
    <vt:lpwstr/>
  </property>
</Properties>
</file>